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Texte-KB-Referat\Diverse-KB-Referat\Zeitkarten 2026\"/>
    </mc:Choice>
  </mc:AlternateContent>
  <xr:revisionPtr revIDLastSave="0" documentId="13_ncr:1_{D195FA03-03C7-462B-A5EC-3CB6768122C1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Datenblatt" sheetId="1" r:id="rId1"/>
    <sheet name="BV-Arbeitszeit" sheetId="2" r:id="rId2"/>
    <sheet name="Urlaubsmeldung" sheetId="3" r:id="rId3"/>
    <sheet name="Jän" sheetId="4" r:id="rId4"/>
    <sheet name="Feb" sheetId="5" r:id="rId5"/>
    <sheet name="März" sheetId="6" r:id="rId6"/>
    <sheet name="April" sheetId="7" r:id="rId7"/>
    <sheet name="Mai" sheetId="8" r:id="rId8"/>
    <sheet name="Juni" sheetId="9" r:id="rId9"/>
    <sheet name="Juli" sheetId="10" r:id="rId10"/>
    <sheet name="Aug" sheetId="11" r:id="rId11"/>
    <sheet name="Sept" sheetId="12" r:id="rId12"/>
    <sheet name="Okt" sheetId="13" r:id="rId13"/>
    <sheet name="Nov" sheetId="14" r:id="rId14"/>
    <sheet name="Dez" sheetId="15" r:id="rId15"/>
    <sheet name="REISERECHNUNG" sheetId="18" r:id="rId16"/>
    <sheet name="Jahresübersicht" sheetId="17" r:id="rId17"/>
  </sheets>
  <definedNames>
    <definedName name="_xlnm.Print_Area" localSheetId="15">REISERECHNUNG!$A$1:$O$36</definedName>
  </definedNames>
  <calcPr calcId="191029" concurrentCalc="0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6" i="4" l="1"/>
  <c r="X46" i="5"/>
  <c r="X46" i="6"/>
  <c r="X46" i="7"/>
  <c r="X46" i="8"/>
  <c r="X46" i="9"/>
  <c r="X46" i="10"/>
  <c r="X46" i="11"/>
  <c r="X46" i="13"/>
  <c r="X46" i="14"/>
  <c r="X46" i="15"/>
  <c r="X46" i="12"/>
  <c r="W46" i="4"/>
  <c r="W46" i="5"/>
  <c r="W46" i="6"/>
  <c r="W46" i="7"/>
  <c r="W46" i="8"/>
  <c r="W46" i="9"/>
  <c r="W46" i="10"/>
  <c r="W46" i="11"/>
  <c r="W46" i="13"/>
  <c r="W46" i="14"/>
  <c r="W46" i="15"/>
  <c r="W46" i="12"/>
  <c r="L2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F71" i="1"/>
  <c r="F74" i="1"/>
  <c r="F72" i="1"/>
  <c r="F73" i="1"/>
  <c r="F75" i="1"/>
  <c r="F76" i="1"/>
  <c r="F80" i="1"/>
  <c r="F79" i="1"/>
  <c r="F83" i="1"/>
  <c r="F86" i="1"/>
  <c r="A48" i="1"/>
  <c r="A54" i="1"/>
  <c r="A45" i="1"/>
  <c r="A46" i="1"/>
  <c r="A43" i="1"/>
  <c r="A44" i="1"/>
  <c r="A49" i="1"/>
  <c r="A50" i="1"/>
  <c r="A51" i="1"/>
  <c r="A52" i="1"/>
  <c r="A53" i="1"/>
  <c r="A55" i="1"/>
  <c r="A56" i="1"/>
  <c r="A57" i="1"/>
  <c r="A58" i="1"/>
  <c r="A59" i="1"/>
  <c r="A60" i="1"/>
  <c r="A61" i="1"/>
  <c r="A62" i="1"/>
  <c r="A63" i="1"/>
  <c r="A64" i="1"/>
  <c r="A65" i="1"/>
  <c r="V23" i="5"/>
  <c r="L2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V23" i="6"/>
  <c r="L2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V23" i="7"/>
  <c r="L2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V23" i="8"/>
  <c r="L2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V23" i="9"/>
  <c r="L2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V23" i="10"/>
  <c r="L2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V23" i="11"/>
  <c r="L2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V23" i="12"/>
  <c r="L2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V23" i="13"/>
  <c r="L2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V23" i="14"/>
  <c r="L2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V23" i="15"/>
  <c r="L2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V23" i="4"/>
  <c r="K33" i="1"/>
  <c r="N33" i="1"/>
  <c r="Q33" i="1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D39" i="15"/>
  <c r="K38" i="1"/>
  <c r="N38" i="1"/>
  <c r="Q38" i="1"/>
  <c r="T38" i="1"/>
  <c r="W38" i="1"/>
  <c r="Z38" i="1"/>
  <c r="K51" i="1"/>
  <c r="N51" i="1"/>
  <c r="Q51" i="1"/>
  <c r="T51" i="1"/>
  <c r="W51" i="1"/>
  <c r="Z51" i="1"/>
  <c r="D38" i="15"/>
  <c r="K37" i="1"/>
  <c r="N37" i="1"/>
  <c r="Q37" i="1"/>
  <c r="T37" i="1"/>
  <c r="W37" i="1"/>
  <c r="Z37" i="1"/>
  <c r="K50" i="1"/>
  <c r="N50" i="1"/>
  <c r="Q50" i="1"/>
  <c r="T50" i="1"/>
  <c r="W50" i="1"/>
  <c r="Z50" i="1"/>
  <c r="D37" i="15"/>
  <c r="K36" i="1"/>
  <c r="N36" i="1"/>
  <c r="Q36" i="1"/>
  <c r="T36" i="1"/>
  <c r="W36" i="1"/>
  <c r="Z36" i="1"/>
  <c r="K49" i="1"/>
  <c r="N49" i="1"/>
  <c r="Q49" i="1"/>
  <c r="T49" i="1"/>
  <c r="W49" i="1"/>
  <c r="Z49" i="1"/>
  <c r="D36" i="15"/>
  <c r="T33" i="1"/>
  <c r="W33" i="1"/>
  <c r="Z33" i="1"/>
  <c r="K46" i="1"/>
  <c r="N46" i="1"/>
  <c r="Q46" i="1"/>
  <c r="T46" i="1"/>
  <c r="W46" i="1"/>
  <c r="Z46" i="1"/>
  <c r="K35" i="1"/>
  <c r="N35" i="1"/>
  <c r="Q35" i="1"/>
  <c r="T35" i="1"/>
  <c r="W35" i="1"/>
  <c r="Z35" i="1"/>
  <c r="K48" i="1"/>
  <c r="N48" i="1"/>
  <c r="Q48" i="1"/>
  <c r="T48" i="1"/>
  <c r="W48" i="1"/>
  <c r="Z48" i="1"/>
  <c r="D35" i="15"/>
  <c r="D34" i="15"/>
  <c r="D33" i="15"/>
  <c r="D32" i="15"/>
  <c r="D31" i="15"/>
  <c r="D30" i="15"/>
  <c r="D29" i="15"/>
  <c r="D28" i="15"/>
  <c r="K34" i="1"/>
  <c r="N34" i="1"/>
  <c r="Q34" i="1"/>
  <c r="T34" i="1"/>
  <c r="W34" i="1"/>
  <c r="Z34" i="1"/>
  <c r="K47" i="1"/>
  <c r="N47" i="1"/>
  <c r="Q47" i="1"/>
  <c r="T47" i="1"/>
  <c r="W47" i="1"/>
  <c r="Z47" i="1"/>
  <c r="D27" i="15"/>
  <c r="D26" i="15"/>
  <c r="K39" i="1"/>
  <c r="N39" i="1"/>
  <c r="Q39" i="1"/>
  <c r="T39" i="1"/>
  <c r="W39" i="1"/>
  <c r="Z39" i="1"/>
  <c r="K52" i="1"/>
  <c r="N52" i="1"/>
  <c r="Q52" i="1"/>
  <c r="T52" i="1"/>
  <c r="W52" i="1"/>
  <c r="Z52" i="1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B37" i="5"/>
  <c r="D37" i="5"/>
  <c r="K6" i="18"/>
  <c r="D12" i="3"/>
  <c r="A38" i="1"/>
  <c r="B2" i="18"/>
  <c r="B1" i="18"/>
  <c r="B35" i="18"/>
  <c r="C30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L25" i="18"/>
  <c r="M25" i="18"/>
  <c r="N25" i="18"/>
  <c r="O25" i="18"/>
  <c r="M28" i="18"/>
  <c r="N28" i="18"/>
  <c r="B29" i="18"/>
  <c r="J29" i="18"/>
  <c r="N29" i="18"/>
  <c r="J30" i="18"/>
  <c r="N30" i="18"/>
  <c r="N31" i="18"/>
  <c r="M32" i="18"/>
  <c r="N32" i="18"/>
  <c r="N33" i="18"/>
  <c r="K45" i="18"/>
  <c r="S43" i="15"/>
  <c r="S43" i="14"/>
  <c r="S43" i="13"/>
  <c r="S43" i="12"/>
  <c r="S43" i="11"/>
  <c r="S43" i="10"/>
  <c r="S43" i="9"/>
  <c r="S43" i="8"/>
  <c r="S43" i="7"/>
  <c r="S43" i="6"/>
  <c r="S43" i="4"/>
  <c r="K42" i="1"/>
  <c r="N42" i="1"/>
  <c r="Q42" i="1"/>
  <c r="T42" i="1"/>
  <c r="W42" i="1"/>
  <c r="Z42" i="1"/>
  <c r="K55" i="1"/>
  <c r="N55" i="1"/>
  <c r="Q55" i="1"/>
  <c r="M44" i="12"/>
  <c r="Q53" i="1"/>
  <c r="W40" i="12"/>
  <c r="T55" i="1"/>
  <c r="W55" i="1"/>
  <c r="Z55" i="1"/>
  <c r="F5" i="15"/>
  <c r="F5" i="14"/>
  <c r="F5" i="13"/>
  <c r="F5" i="12"/>
  <c r="F5" i="11"/>
  <c r="F5" i="10"/>
  <c r="F5" i="9"/>
  <c r="F5" i="8"/>
  <c r="F5" i="7"/>
  <c r="F5" i="6"/>
  <c r="F5" i="5"/>
  <c r="F5" i="4"/>
  <c r="F21" i="1"/>
  <c r="F22" i="1"/>
  <c r="F23" i="1"/>
  <c r="F24" i="1"/>
  <c r="F25" i="1"/>
  <c r="F26" i="1"/>
  <c r="F20" i="1"/>
  <c r="Z53" i="1"/>
  <c r="F4" i="15"/>
  <c r="W53" i="1"/>
  <c r="F4" i="14"/>
  <c r="T53" i="1"/>
  <c r="F4" i="13"/>
  <c r="F4" i="12"/>
  <c r="N53" i="1"/>
  <c r="F4" i="11"/>
  <c r="K53" i="1"/>
  <c r="F4" i="10"/>
  <c r="Z40" i="1"/>
  <c r="F4" i="9"/>
  <c r="W40" i="1"/>
  <c r="F4" i="8"/>
  <c r="T40" i="1"/>
  <c r="F4" i="7"/>
  <c r="Q40" i="1"/>
  <c r="F4" i="6"/>
  <c r="N40" i="1"/>
  <c r="F4" i="5"/>
  <c r="K40" i="1"/>
  <c r="F4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B24" i="4"/>
  <c r="D24" i="4"/>
  <c r="B25" i="4"/>
  <c r="D25" i="4"/>
  <c r="B26" i="4"/>
  <c r="D26" i="4"/>
  <c r="B27" i="4"/>
  <c r="D27" i="4"/>
  <c r="B28" i="4"/>
  <c r="D28" i="4"/>
  <c r="B29" i="4"/>
  <c r="D29" i="4"/>
  <c r="B30" i="4"/>
  <c r="D30" i="4"/>
  <c r="B31" i="4"/>
  <c r="D31" i="4"/>
  <c r="B32" i="4"/>
  <c r="D32" i="4"/>
  <c r="B33" i="4"/>
  <c r="D33" i="4"/>
  <c r="B34" i="4"/>
  <c r="D34" i="4"/>
  <c r="B35" i="4"/>
  <c r="D35" i="4"/>
  <c r="B36" i="4"/>
  <c r="D36" i="4"/>
  <c r="B37" i="4"/>
  <c r="D37" i="4"/>
  <c r="B38" i="4"/>
  <c r="D38" i="4"/>
  <c r="B39" i="4"/>
  <c r="D39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43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W2" i="7"/>
  <c r="G3" i="7"/>
  <c r="W3" i="7"/>
  <c r="D11" i="1"/>
  <c r="T4" i="4"/>
  <c r="Q40" i="4"/>
  <c r="Q40" i="5"/>
  <c r="Q40" i="6"/>
  <c r="W4" i="7"/>
  <c r="Q40" i="7"/>
  <c r="W5" i="7"/>
  <c r="C9" i="7"/>
  <c r="E9" i="7"/>
  <c r="R9" i="7"/>
  <c r="S9" i="7"/>
  <c r="V9" i="7"/>
  <c r="C10" i="7"/>
  <c r="E10" i="7"/>
  <c r="R10" i="7"/>
  <c r="S10" i="7"/>
  <c r="V10" i="7"/>
  <c r="C11" i="7"/>
  <c r="E11" i="7"/>
  <c r="R11" i="7"/>
  <c r="S11" i="7"/>
  <c r="V11" i="7"/>
  <c r="C12" i="7"/>
  <c r="E12" i="7"/>
  <c r="R12" i="7"/>
  <c r="S12" i="7"/>
  <c r="V12" i="7"/>
  <c r="C13" i="7"/>
  <c r="E13" i="7"/>
  <c r="R13" i="7"/>
  <c r="S13" i="7"/>
  <c r="V13" i="7"/>
  <c r="C14" i="7"/>
  <c r="E14" i="7"/>
  <c r="R14" i="7"/>
  <c r="S14" i="7"/>
  <c r="V14" i="7"/>
  <c r="C15" i="7"/>
  <c r="E15" i="7"/>
  <c r="R15" i="7"/>
  <c r="S15" i="7"/>
  <c r="V15" i="7"/>
  <c r="C16" i="7"/>
  <c r="E16" i="7"/>
  <c r="R16" i="7"/>
  <c r="S16" i="7"/>
  <c r="V16" i="7"/>
  <c r="C17" i="7"/>
  <c r="E17" i="7"/>
  <c r="R17" i="7"/>
  <c r="S17" i="7"/>
  <c r="V17" i="7"/>
  <c r="C18" i="7"/>
  <c r="E18" i="7"/>
  <c r="R18" i="7"/>
  <c r="S18" i="7"/>
  <c r="V18" i="7"/>
  <c r="C19" i="7"/>
  <c r="E19" i="7"/>
  <c r="R19" i="7"/>
  <c r="S19" i="7"/>
  <c r="V19" i="7"/>
  <c r="C20" i="7"/>
  <c r="E20" i="7"/>
  <c r="R20" i="7"/>
  <c r="S20" i="7"/>
  <c r="V20" i="7"/>
  <c r="C21" i="7"/>
  <c r="E21" i="7"/>
  <c r="R21" i="7"/>
  <c r="S21" i="7"/>
  <c r="V21" i="7"/>
  <c r="C22" i="7"/>
  <c r="E22" i="7"/>
  <c r="R22" i="7"/>
  <c r="S22" i="7"/>
  <c r="V22" i="7"/>
  <c r="C23" i="7"/>
  <c r="E23" i="7"/>
  <c r="R23" i="7"/>
  <c r="S23" i="7"/>
  <c r="C24" i="7"/>
  <c r="E24" i="7"/>
  <c r="R24" i="7"/>
  <c r="S24" i="7"/>
  <c r="V24" i="7"/>
  <c r="C25" i="7"/>
  <c r="E25" i="7"/>
  <c r="R25" i="7"/>
  <c r="S25" i="7"/>
  <c r="V25" i="7"/>
  <c r="C26" i="7"/>
  <c r="E26" i="7"/>
  <c r="R26" i="7"/>
  <c r="S26" i="7"/>
  <c r="V26" i="7"/>
  <c r="C27" i="7"/>
  <c r="E27" i="7"/>
  <c r="R27" i="7"/>
  <c r="S27" i="7"/>
  <c r="V27" i="7"/>
  <c r="C28" i="7"/>
  <c r="E28" i="7"/>
  <c r="R28" i="7"/>
  <c r="S28" i="7"/>
  <c r="V28" i="7"/>
  <c r="C29" i="7"/>
  <c r="E29" i="7"/>
  <c r="R29" i="7"/>
  <c r="S29" i="7"/>
  <c r="V29" i="7"/>
  <c r="C30" i="7"/>
  <c r="E30" i="7"/>
  <c r="R30" i="7"/>
  <c r="S30" i="7"/>
  <c r="V30" i="7"/>
  <c r="C31" i="7"/>
  <c r="E31" i="7"/>
  <c r="R31" i="7"/>
  <c r="S31" i="7"/>
  <c r="V31" i="7"/>
  <c r="C32" i="7"/>
  <c r="E32" i="7"/>
  <c r="R32" i="7"/>
  <c r="S32" i="7"/>
  <c r="V32" i="7"/>
  <c r="C33" i="7"/>
  <c r="E33" i="7"/>
  <c r="R33" i="7"/>
  <c r="S33" i="7"/>
  <c r="V33" i="7"/>
  <c r="C34" i="7"/>
  <c r="E34" i="7"/>
  <c r="R34" i="7"/>
  <c r="S34" i="7"/>
  <c r="V34" i="7"/>
  <c r="C35" i="7"/>
  <c r="E35" i="7"/>
  <c r="R35" i="7"/>
  <c r="S35" i="7"/>
  <c r="V35" i="7"/>
  <c r="C36" i="7"/>
  <c r="E36" i="7"/>
  <c r="R36" i="7"/>
  <c r="S36" i="7"/>
  <c r="V36" i="7"/>
  <c r="C37" i="7"/>
  <c r="E37" i="7"/>
  <c r="R37" i="7"/>
  <c r="S37" i="7"/>
  <c r="V37" i="7"/>
  <c r="C38" i="7"/>
  <c r="E38" i="7"/>
  <c r="R38" i="7"/>
  <c r="S38" i="7"/>
  <c r="V38" i="7"/>
  <c r="R39" i="7"/>
  <c r="S39" i="7"/>
  <c r="P40" i="7"/>
  <c r="B41" i="7"/>
  <c r="M41" i="7"/>
  <c r="S41" i="7"/>
  <c r="M42" i="7"/>
  <c r="M43" i="7"/>
  <c r="M44" i="7"/>
  <c r="G45" i="7"/>
  <c r="W2" i="11"/>
  <c r="G3" i="11"/>
  <c r="W3" i="11"/>
  <c r="Q40" i="8"/>
  <c r="Q40" i="9"/>
  <c r="Q40" i="10"/>
  <c r="W4" i="11"/>
  <c r="Q40" i="11"/>
  <c r="W5" i="11"/>
  <c r="C9" i="11"/>
  <c r="E9" i="11"/>
  <c r="R9" i="11"/>
  <c r="S9" i="11"/>
  <c r="V9" i="11"/>
  <c r="C10" i="11"/>
  <c r="E10" i="11"/>
  <c r="R10" i="11"/>
  <c r="S10" i="11"/>
  <c r="V10" i="11"/>
  <c r="C11" i="11"/>
  <c r="E11" i="11"/>
  <c r="R11" i="11"/>
  <c r="S11" i="11"/>
  <c r="V11" i="11"/>
  <c r="C12" i="11"/>
  <c r="E12" i="11"/>
  <c r="R12" i="11"/>
  <c r="S12" i="11"/>
  <c r="V12" i="11"/>
  <c r="C13" i="11"/>
  <c r="E13" i="11"/>
  <c r="R13" i="11"/>
  <c r="S13" i="11"/>
  <c r="V13" i="11"/>
  <c r="C14" i="11"/>
  <c r="E14" i="11"/>
  <c r="R14" i="11"/>
  <c r="S14" i="11"/>
  <c r="V14" i="11"/>
  <c r="C15" i="11"/>
  <c r="E15" i="11"/>
  <c r="R15" i="11"/>
  <c r="S15" i="11"/>
  <c r="V15" i="11"/>
  <c r="C16" i="11"/>
  <c r="E16" i="11"/>
  <c r="R16" i="11"/>
  <c r="S16" i="11"/>
  <c r="V16" i="11"/>
  <c r="C17" i="11"/>
  <c r="E17" i="11"/>
  <c r="R17" i="11"/>
  <c r="S17" i="11"/>
  <c r="V17" i="11"/>
  <c r="C18" i="11"/>
  <c r="E18" i="11"/>
  <c r="R18" i="11"/>
  <c r="S18" i="11"/>
  <c r="V18" i="11"/>
  <c r="C19" i="11"/>
  <c r="E19" i="11"/>
  <c r="R19" i="11"/>
  <c r="S19" i="11"/>
  <c r="V19" i="11"/>
  <c r="C20" i="11"/>
  <c r="E20" i="11"/>
  <c r="R20" i="11"/>
  <c r="S20" i="11"/>
  <c r="V20" i="11"/>
  <c r="C21" i="11"/>
  <c r="E21" i="11"/>
  <c r="R21" i="11"/>
  <c r="S21" i="11"/>
  <c r="V21" i="11"/>
  <c r="C22" i="11"/>
  <c r="E22" i="11"/>
  <c r="R22" i="11"/>
  <c r="S22" i="11"/>
  <c r="V22" i="11"/>
  <c r="C23" i="11"/>
  <c r="E23" i="11"/>
  <c r="R23" i="11"/>
  <c r="S23" i="11"/>
  <c r="C24" i="11"/>
  <c r="E24" i="11"/>
  <c r="R24" i="11"/>
  <c r="S24" i="11"/>
  <c r="V24" i="11"/>
  <c r="C25" i="11"/>
  <c r="E25" i="11"/>
  <c r="R25" i="11"/>
  <c r="S25" i="11"/>
  <c r="V25" i="11"/>
  <c r="C26" i="11"/>
  <c r="E26" i="11"/>
  <c r="R26" i="11"/>
  <c r="S26" i="11"/>
  <c r="V26" i="11"/>
  <c r="C27" i="11"/>
  <c r="E27" i="11"/>
  <c r="R27" i="11"/>
  <c r="S27" i="11"/>
  <c r="V27" i="11"/>
  <c r="C28" i="11"/>
  <c r="E28" i="11"/>
  <c r="R28" i="11"/>
  <c r="S28" i="11"/>
  <c r="V28" i="11"/>
  <c r="C29" i="11"/>
  <c r="E29" i="11"/>
  <c r="R29" i="11"/>
  <c r="S29" i="11"/>
  <c r="V29" i="11"/>
  <c r="C30" i="11"/>
  <c r="E30" i="11"/>
  <c r="R30" i="11"/>
  <c r="S30" i="11"/>
  <c r="V30" i="11"/>
  <c r="C31" i="11"/>
  <c r="E31" i="11"/>
  <c r="R31" i="11"/>
  <c r="S31" i="11"/>
  <c r="V31" i="11"/>
  <c r="C32" i="11"/>
  <c r="E32" i="11"/>
  <c r="R32" i="11"/>
  <c r="S32" i="11"/>
  <c r="V32" i="11"/>
  <c r="C33" i="11"/>
  <c r="E33" i="11"/>
  <c r="R33" i="11"/>
  <c r="S33" i="11"/>
  <c r="V33" i="11"/>
  <c r="C34" i="11"/>
  <c r="E34" i="11"/>
  <c r="R34" i="11"/>
  <c r="S34" i="11"/>
  <c r="V34" i="11"/>
  <c r="C35" i="11"/>
  <c r="E35" i="11"/>
  <c r="R35" i="11"/>
  <c r="S35" i="11"/>
  <c r="V35" i="11"/>
  <c r="C36" i="11"/>
  <c r="E36" i="11"/>
  <c r="R36" i="11"/>
  <c r="S36" i="11"/>
  <c r="V36" i="11"/>
  <c r="C37" i="11"/>
  <c r="E37" i="11"/>
  <c r="R37" i="11"/>
  <c r="S37" i="11"/>
  <c r="V37" i="11"/>
  <c r="C38" i="11"/>
  <c r="E38" i="11"/>
  <c r="R38" i="11"/>
  <c r="S38" i="11"/>
  <c r="V38" i="11"/>
  <c r="C39" i="11"/>
  <c r="E39" i="11"/>
  <c r="R39" i="11"/>
  <c r="S39" i="11"/>
  <c r="V39" i="11"/>
  <c r="P40" i="11"/>
  <c r="B41" i="11"/>
  <c r="M41" i="11"/>
  <c r="S41" i="11"/>
  <c r="M42" i="11"/>
  <c r="M43" i="11"/>
  <c r="M44" i="11"/>
  <c r="G45" i="11"/>
  <c r="A9" i="1"/>
  <c r="A10" i="1"/>
  <c r="A11" i="1"/>
  <c r="A13" i="1"/>
  <c r="D27" i="1"/>
  <c r="A42" i="1"/>
  <c r="W2" i="15"/>
  <c r="G3" i="15"/>
  <c r="W3" i="15"/>
  <c r="Q40" i="12"/>
  <c r="Q40" i="13"/>
  <c r="Q40" i="14"/>
  <c r="W4" i="15"/>
  <c r="Q40" i="15"/>
  <c r="W5" i="15"/>
  <c r="C9" i="15"/>
  <c r="E9" i="15"/>
  <c r="R9" i="15"/>
  <c r="S9" i="15"/>
  <c r="T9" i="15"/>
  <c r="V9" i="15"/>
  <c r="C10" i="15"/>
  <c r="E10" i="15"/>
  <c r="R10" i="15"/>
  <c r="S10" i="15"/>
  <c r="T10" i="15"/>
  <c r="V10" i="15"/>
  <c r="C11" i="15"/>
  <c r="E11" i="15"/>
  <c r="R11" i="15"/>
  <c r="S11" i="15"/>
  <c r="T11" i="15"/>
  <c r="V11" i="15"/>
  <c r="C12" i="15"/>
  <c r="E12" i="15"/>
  <c r="R12" i="15"/>
  <c r="S12" i="15"/>
  <c r="T12" i="15"/>
  <c r="V12" i="15"/>
  <c r="C13" i="15"/>
  <c r="E13" i="15"/>
  <c r="R13" i="15"/>
  <c r="S13" i="15"/>
  <c r="T13" i="15"/>
  <c r="V13" i="15"/>
  <c r="C14" i="15"/>
  <c r="E14" i="15"/>
  <c r="R14" i="15"/>
  <c r="S14" i="15"/>
  <c r="T14" i="15"/>
  <c r="V14" i="15"/>
  <c r="C15" i="15"/>
  <c r="E15" i="15"/>
  <c r="R15" i="15"/>
  <c r="S15" i="15"/>
  <c r="T15" i="15"/>
  <c r="V15" i="15"/>
  <c r="C16" i="15"/>
  <c r="E16" i="15"/>
  <c r="R16" i="15"/>
  <c r="S16" i="15"/>
  <c r="T16" i="15"/>
  <c r="V16" i="15"/>
  <c r="C17" i="15"/>
  <c r="E17" i="15"/>
  <c r="R17" i="15"/>
  <c r="S17" i="15"/>
  <c r="T17" i="15"/>
  <c r="V17" i="15"/>
  <c r="C18" i="15"/>
  <c r="E18" i="15"/>
  <c r="R18" i="15"/>
  <c r="S18" i="15"/>
  <c r="T18" i="15"/>
  <c r="V18" i="15"/>
  <c r="C19" i="15"/>
  <c r="E19" i="15"/>
  <c r="R19" i="15"/>
  <c r="S19" i="15"/>
  <c r="T19" i="15"/>
  <c r="V19" i="15"/>
  <c r="C20" i="15"/>
  <c r="E20" i="15"/>
  <c r="R20" i="15"/>
  <c r="S20" i="15"/>
  <c r="T20" i="15"/>
  <c r="V20" i="15"/>
  <c r="C21" i="15"/>
  <c r="E21" i="15"/>
  <c r="R21" i="15"/>
  <c r="S21" i="15"/>
  <c r="T21" i="15"/>
  <c r="V21" i="15"/>
  <c r="C22" i="15"/>
  <c r="E22" i="15"/>
  <c r="R22" i="15"/>
  <c r="S22" i="15"/>
  <c r="T22" i="15"/>
  <c r="V22" i="15"/>
  <c r="C23" i="15"/>
  <c r="E23" i="15"/>
  <c r="R23" i="15"/>
  <c r="S23" i="15"/>
  <c r="T23" i="15"/>
  <c r="C24" i="15"/>
  <c r="E24" i="15"/>
  <c r="R24" i="15"/>
  <c r="S24" i="15"/>
  <c r="T24" i="15"/>
  <c r="V24" i="15"/>
  <c r="C25" i="15"/>
  <c r="E25" i="15"/>
  <c r="R25" i="15"/>
  <c r="S25" i="15"/>
  <c r="T25" i="15"/>
  <c r="V25" i="15"/>
  <c r="C26" i="15"/>
  <c r="E26" i="15"/>
  <c r="R26" i="15"/>
  <c r="S26" i="15"/>
  <c r="T26" i="15"/>
  <c r="V26" i="15"/>
  <c r="C27" i="15"/>
  <c r="E27" i="15"/>
  <c r="R27" i="15"/>
  <c r="S27" i="15"/>
  <c r="T27" i="15"/>
  <c r="V27" i="15"/>
  <c r="C28" i="15"/>
  <c r="E28" i="15"/>
  <c r="R28" i="15"/>
  <c r="S28" i="15"/>
  <c r="T28" i="15"/>
  <c r="V28" i="15"/>
  <c r="C29" i="15"/>
  <c r="E29" i="15"/>
  <c r="R29" i="15"/>
  <c r="S29" i="15"/>
  <c r="T29" i="15"/>
  <c r="V29" i="15"/>
  <c r="C30" i="15"/>
  <c r="E30" i="15"/>
  <c r="R30" i="15"/>
  <c r="S30" i="15"/>
  <c r="T30" i="15"/>
  <c r="V30" i="15"/>
  <c r="C31" i="15"/>
  <c r="E31" i="15"/>
  <c r="R31" i="15"/>
  <c r="S31" i="15"/>
  <c r="T31" i="15"/>
  <c r="V31" i="15"/>
  <c r="C32" i="15"/>
  <c r="E32" i="15"/>
  <c r="R32" i="15"/>
  <c r="S32" i="15"/>
  <c r="T32" i="15"/>
  <c r="V32" i="15"/>
  <c r="C33" i="15"/>
  <c r="E33" i="15"/>
  <c r="R33" i="15"/>
  <c r="S33" i="15"/>
  <c r="T33" i="15"/>
  <c r="V33" i="15"/>
  <c r="C34" i="15"/>
  <c r="E34" i="15"/>
  <c r="R34" i="15"/>
  <c r="S34" i="15"/>
  <c r="T34" i="15"/>
  <c r="V34" i="15"/>
  <c r="C35" i="15"/>
  <c r="E35" i="15"/>
  <c r="R35" i="15"/>
  <c r="S35" i="15"/>
  <c r="T35" i="15"/>
  <c r="V35" i="15"/>
  <c r="C36" i="15"/>
  <c r="E36" i="15"/>
  <c r="R36" i="15"/>
  <c r="S36" i="15"/>
  <c r="T36" i="15"/>
  <c r="V36" i="15"/>
  <c r="C37" i="15"/>
  <c r="E37" i="15"/>
  <c r="R37" i="15"/>
  <c r="S37" i="15"/>
  <c r="T37" i="15"/>
  <c r="V37" i="15"/>
  <c r="C38" i="15"/>
  <c r="E38" i="15"/>
  <c r="R38" i="15"/>
  <c r="S38" i="15"/>
  <c r="T38" i="15"/>
  <c r="V38" i="15"/>
  <c r="C39" i="15"/>
  <c r="E39" i="15"/>
  <c r="R39" i="15"/>
  <c r="S39" i="15"/>
  <c r="T39" i="15"/>
  <c r="V39" i="15"/>
  <c r="P40" i="15"/>
  <c r="B41" i="15"/>
  <c r="M41" i="15"/>
  <c r="S41" i="15"/>
  <c r="M42" i="15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4" i="13"/>
  <c r="T35" i="13"/>
  <c r="T36" i="13"/>
  <c r="T37" i="13"/>
  <c r="T38" i="13"/>
  <c r="T39" i="13"/>
  <c r="T9" i="14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M43" i="15"/>
  <c r="M44" i="15"/>
  <c r="G45" i="15"/>
  <c r="W2" i="5"/>
  <c r="G3" i="5"/>
  <c r="W3" i="5"/>
  <c r="W4" i="5"/>
  <c r="W5" i="5"/>
  <c r="C9" i="5"/>
  <c r="E9" i="5"/>
  <c r="R9" i="5"/>
  <c r="S9" i="5"/>
  <c r="V9" i="5"/>
  <c r="C10" i="5"/>
  <c r="E10" i="5"/>
  <c r="R10" i="5"/>
  <c r="S10" i="5"/>
  <c r="V10" i="5"/>
  <c r="C11" i="5"/>
  <c r="E11" i="5"/>
  <c r="R11" i="5"/>
  <c r="S11" i="5"/>
  <c r="V11" i="5"/>
  <c r="C12" i="5"/>
  <c r="E12" i="5"/>
  <c r="R12" i="5"/>
  <c r="S12" i="5"/>
  <c r="V12" i="5"/>
  <c r="C13" i="5"/>
  <c r="E13" i="5"/>
  <c r="R13" i="5"/>
  <c r="S13" i="5"/>
  <c r="V13" i="5"/>
  <c r="C14" i="5"/>
  <c r="E14" i="5"/>
  <c r="R14" i="5"/>
  <c r="S14" i="5"/>
  <c r="V14" i="5"/>
  <c r="C15" i="5"/>
  <c r="E15" i="5"/>
  <c r="R15" i="5"/>
  <c r="S15" i="5"/>
  <c r="V15" i="5"/>
  <c r="C16" i="5"/>
  <c r="E16" i="5"/>
  <c r="R16" i="5"/>
  <c r="S16" i="5"/>
  <c r="V16" i="5"/>
  <c r="C17" i="5"/>
  <c r="E17" i="5"/>
  <c r="R17" i="5"/>
  <c r="S17" i="5"/>
  <c r="V17" i="5"/>
  <c r="C18" i="5"/>
  <c r="E18" i="5"/>
  <c r="R18" i="5"/>
  <c r="S18" i="5"/>
  <c r="V18" i="5"/>
  <c r="C19" i="5"/>
  <c r="E19" i="5"/>
  <c r="R19" i="5"/>
  <c r="S19" i="5"/>
  <c r="V19" i="5"/>
  <c r="C20" i="5"/>
  <c r="E20" i="5"/>
  <c r="R20" i="5"/>
  <c r="S20" i="5"/>
  <c r="V20" i="5"/>
  <c r="C21" i="5"/>
  <c r="E21" i="5"/>
  <c r="R21" i="5"/>
  <c r="S21" i="5"/>
  <c r="V21" i="5"/>
  <c r="C22" i="5"/>
  <c r="E22" i="5"/>
  <c r="R22" i="5"/>
  <c r="S22" i="5"/>
  <c r="V22" i="5"/>
  <c r="C23" i="5"/>
  <c r="E23" i="5"/>
  <c r="R23" i="5"/>
  <c r="S23" i="5"/>
  <c r="C24" i="5"/>
  <c r="E24" i="5"/>
  <c r="R24" i="5"/>
  <c r="S24" i="5"/>
  <c r="V24" i="5"/>
  <c r="C25" i="5"/>
  <c r="E25" i="5"/>
  <c r="R25" i="5"/>
  <c r="S25" i="5"/>
  <c r="V25" i="5"/>
  <c r="C26" i="5"/>
  <c r="E26" i="5"/>
  <c r="R26" i="5"/>
  <c r="S26" i="5"/>
  <c r="V26" i="5"/>
  <c r="C27" i="5"/>
  <c r="E27" i="5"/>
  <c r="R27" i="5"/>
  <c r="S27" i="5"/>
  <c r="V27" i="5"/>
  <c r="C28" i="5"/>
  <c r="E28" i="5"/>
  <c r="R28" i="5"/>
  <c r="S28" i="5"/>
  <c r="V28" i="5"/>
  <c r="C29" i="5"/>
  <c r="E29" i="5"/>
  <c r="R29" i="5"/>
  <c r="S29" i="5"/>
  <c r="V29" i="5"/>
  <c r="C30" i="5"/>
  <c r="E30" i="5"/>
  <c r="R30" i="5"/>
  <c r="S30" i="5"/>
  <c r="V30" i="5"/>
  <c r="C31" i="5"/>
  <c r="E31" i="5"/>
  <c r="R31" i="5"/>
  <c r="S31" i="5"/>
  <c r="V31" i="5"/>
  <c r="C32" i="5"/>
  <c r="E32" i="5"/>
  <c r="R32" i="5"/>
  <c r="S32" i="5"/>
  <c r="V32" i="5"/>
  <c r="C33" i="5"/>
  <c r="E33" i="5"/>
  <c r="R33" i="5"/>
  <c r="S33" i="5"/>
  <c r="V33" i="5"/>
  <c r="C34" i="5"/>
  <c r="E34" i="5"/>
  <c r="R34" i="5"/>
  <c r="S34" i="5"/>
  <c r="V34" i="5"/>
  <c r="C35" i="5"/>
  <c r="E35" i="5"/>
  <c r="R35" i="5"/>
  <c r="S35" i="5"/>
  <c r="V35" i="5"/>
  <c r="C36" i="5"/>
  <c r="E36" i="5"/>
  <c r="R36" i="5"/>
  <c r="S36" i="5"/>
  <c r="V36" i="5"/>
  <c r="C37" i="5"/>
  <c r="E37" i="5"/>
  <c r="R37" i="5"/>
  <c r="S37" i="5"/>
  <c r="R38" i="5"/>
  <c r="S38" i="5"/>
  <c r="R39" i="5"/>
  <c r="S39" i="5"/>
  <c r="P40" i="5"/>
  <c r="B41" i="5"/>
  <c r="M41" i="5"/>
  <c r="S41" i="5"/>
  <c r="M42" i="5"/>
  <c r="M43" i="5"/>
  <c r="M44" i="5"/>
  <c r="G45" i="5"/>
  <c r="E2" i="17"/>
  <c r="Y2" i="17"/>
  <c r="B4" i="17"/>
  <c r="K4" i="17"/>
  <c r="B6" i="17"/>
  <c r="S41" i="4"/>
  <c r="S41" i="6"/>
  <c r="S41" i="8"/>
  <c r="S41" i="9"/>
  <c r="S41" i="10"/>
  <c r="S41" i="12"/>
  <c r="S41" i="13"/>
  <c r="S41" i="14"/>
  <c r="F6" i="17"/>
  <c r="H6" i="17"/>
  <c r="L6" i="17"/>
  <c r="R6" i="17"/>
  <c r="W6" i="17"/>
  <c r="B7" i="17"/>
  <c r="K7" i="17"/>
  <c r="P40" i="4"/>
  <c r="P40" i="6"/>
  <c r="P40" i="8"/>
  <c r="P40" i="9"/>
  <c r="P40" i="10"/>
  <c r="P40" i="12"/>
  <c r="P40" i="13"/>
  <c r="P40" i="14"/>
  <c r="P7" i="17"/>
  <c r="F7" i="17"/>
  <c r="H7" i="17"/>
  <c r="M7" i="17"/>
  <c r="R7" i="17"/>
  <c r="X7" i="17"/>
  <c r="A10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A11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A12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A13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A14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A15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A16" i="17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A17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A18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A19" i="17"/>
  <c r="B19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A20" i="17"/>
  <c r="B20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A21" i="17"/>
  <c r="B21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A22" i="17"/>
  <c r="B22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A23" i="17"/>
  <c r="B23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A24" i="17"/>
  <c r="B24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A25" i="17"/>
  <c r="B25" i="17"/>
  <c r="C25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A26" i="17"/>
  <c r="B26" i="17"/>
  <c r="C26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A27" i="17"/>
  <c r="B27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A28" i="17"/>
  <c r="B28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A29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B37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B38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B39" i="17"/>
  <c r="C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B40" i="17"/>
  <c r="C40" i="17"/>
  <c r="F40" i="17"/>
  <c r="G40" i="17"/>
  <c r="J40" i="17"/>
  <c r="K40" i="17"/>
  <c r="N40" i="17"/>
  <c r="O40" i="17"/>
  <c r="P40" i="17"/>
  <c r="Q40" i="17"/>
  <c r="T40" i="17"/>
  <c r="U40" i="17"/>
  <c r="X40" i="17"/>
  <c r="Y40" i="17"/>
  <c r="W2" i="4"/>
  <c r="G3" i="4"/>
  <c r="W3" i="4"/>
  <c r="W4" i="4"/>
  <c r="W5" i="4"/>
  <c r="C9" i="4"/>
  <c r="E9" i="4"/>
  <c r="R9" i="4"/>
  <c r="S9" i="4"/>
  <c r="V9" i="4"/>
  <c r="C10" i="4"/>
  <c r="E10" i="4"/>
  <c r="R10" i="4"/>
  <c r="S10" i="4"/>
  <c r="V10" i="4"/>
  <c r="C11" i="4"/>
  <c r="E11" i="4"/>
  <c r="R11" i="4"/>
  <c r="S11" i="4"/>
  <c r="V11" i="4"/>
  <c r="C12" i="4"/>
  <c r="E12" i="4"/>
  <c r="R12" i="4"/>
  <c r="S12" i="4"/>
  <c r="V12" i="4"/>
  <c r="C13" i="4"/>
  <c r="E13" i="4"/>
  <c r="R13" i="4"/>
  <c r="S13" i="4"/>
  <c r="V13" i="4"/>
  <c r="C14" i="4"/>
  <c r="E14" i="4"/>
  <c r="R14" i="4"/>
  <c r="S14" i="4"/>
  <c r="V14" i="4"/>
  <c r="C15" i="4"/>
  <c r="E15" i="4"/>
  <c r="R15" i="4"/>
  <c r="S15" i="4"/>
  <c r="V15" i="4"/>
  <c r="C16" i="4"/>
  <c r="E16" i="4"/>
  <c r="R16" i="4"/>
  <c r="S16" i="4"/>
  <c r="V16" i="4"/>
  <c r="C17" i="4"/>
  <c r="E17" i="4"/>
  <c r="R17" i="4"/>
  <c r="S17" i="4"/>
  <c r="V17" i="4"/>
  <c r="C18" i="4"/>
  <c r="E18" i="4"/>
  <c r="R18" i="4"/>
  <c r="S18" i="4"/>
  <c r="V18" i="4"/>
  <c r="C19" i="4"/>
  <c r="E19" i="4"/>
  <c r="R19" i="4"/>
  <c r="S19" i="4"/>
  <c r="V19" i="4"/>
  <c r="C20" i="4"/>
  <c r="E20" i="4"/>
  <c r="R20" i="4"/>
  <c r="S20" i="4"/>
  <c r="V20" i="4"/>
  <c r="C21" i="4"/>
  <c r="E21" i="4"/>
  <c r="R21" i="4"/>
  <c r="S21" i="4"/>
  <c r="V21" i="4"/>
  <c r="C22" i="4"/>
  <c r="E22" i="4"/>
  <c r="R22" i="4"/>
  <c r="S22" i="4"/>
  <c r="V22" i="4"/>
  <c r="C23" i="4"/>
  <c r="E23" i="4"/>
  <c r="R23" i="4"/>
  <c r="S23" i="4"/>
  <c r="C24" i="4"/>
  <c r="E24" i="4"/>
  <c r="R24" i="4"/>
  <c r="S24" i="4"/>
  <c r="V24" i="4"/>
  <c r="C25" i="4"/>
  <c r="E25" i="4"/>
  <c r="R25" i="4"/>
  <c r="S25" i="4"/>
  <c r="V25" i="4"/>
  <c r="C26" i="4"/>
  <c r="E26" i="4"/>
  <c r="R26" i="4"/>
  <c r="S26" i="4"/>
  <c r="V26" i="4"/>
  <c r="C27" i="4"/>
  <c r="E27" i="4"/>
  <c r="R27" i="4"/>
  <c r="S27" i="4"/>
  <c r="V27" i="4"/>
  <c r="C28" i="4"/>
  <c r="E28" i="4"/>
  <c r="R28" i="4"/>
  <c r="S28" i="4"/>
  <c r="V28" i="4"/>
  <c r="C29" i="4"/>
  <c r="E29" i="4"/>
  <c r="R29" i="4"/>
  <c r="S29" i="4"/>
  <c r="V29" i="4"/>
  <c r="C30" i="4"/>
  <c r="E30" i="4"/>
  <c r="R30" i="4"/>
  <c r="S30" i="4"/>
  <c r="V30" i="4"/>
  <c r="C31" i="4"/>
  <c r="E31" i="4"/>
  <c r="R31" i="4"/>
  <c r="S31" i="4"/>
  <c r="V31" i="4"/>
  <c r="C32" i="4"/>
  <c r="E32" i="4"/>
  <c r="R32" i="4"/>
  <c r="S32" i="4"/>
  <c r="V32" i="4"/>
  <c r="C33" i="4"/>
  <c r="E33" i="4"/>
  <c r="R33" i="4"/>
  <c r="S33" i="4"/>
  <c r="V33" i="4"/>
  <c r="C34" i="4"/>
  <c r="E34" i="4"/>
  <c r="R34" i="4"/>
  <c r="S34" i="4"/>
  <c r="V34" i="4"/>
  <c r="C35" i="4"/>
  <c r="E35" i="4"/>
  <c r="R35" i="4"/>
  <c r="S35" i="4"/>
  <c r="V35" i="4"/>
  <c r="C36" i="4"/>
  <c r="E36" i="4"/>
  <c r="R36" i="4"/>
  <c r="S36" i="4"/>
  <c r="V36" i="4"/>
  <c r="C37" i="4"/>
  <c r="E37" i="4"/>
  <c r="R37" i="4"/>
  <c r="S37" i="4"/>
  <c r="V37" i="4"/>
  <c r="C38" i="4"/>
  <c r="E38" i="4"/>
  <c r="R38" i="4"/>
  <c r="S38" i="4"/>
  <c r="V38" i="4"/>
  <c r="C39" i="4"/>
  <c r="E39" i="4"/>
  <c r="R39" i="4"/>
  <c r="S39" i="4"/>
  <c r="V39" i="4"/>
  <c r="B41" i="4"/>
  <c r="M41" i="4"/>
  <c r="M42" i="4"/>
  <c r="M43" i="4"/>
  <c r="M44" i="4"/>
  <c r="G45" i="4"/>
  <c r="W2" i="10"/>
  <c r="G3" i="10"/>
  <c r="W3" i="10"/>
  <c r="W4" i="10"/>
  <c r="W5" i="10"/>
  <c r="C9" i="10"/>
  <c r="E9" i="10"/>
  <c r="R9" i="10"/>
  <c r="S9" i="10"/>
  <c r="V9" i="10"/>
  <c r="C10" i="10"/>
  <c r="E10" i="10"/>
  <c r="R10" i="10"/>
  <c r="S10" i="10"/>
  <c r="V10" i="10"/>
  <c r="C11" i="10"/>
  <c r="E11" i="10"/>
  <c r="R11" i="10"/>
  <c r="S11" i="10"/>
  <c r="V11" i="10"/>
  <c r="C12" i="10"/>
  <c r="E12" i="10"/>
  <c r="R12" i="10"/>
  <c r="S12" i="10"/>
  <c r="V12" i="10"/>
  <c r="C13" i="10"/>
  <c r="E13" i="10"/>
  <c r="R13" i="10"/>
  <c r="S13" i="10"/>
  <c r="V13" i="10"/>
  <c r="C14" i="10"/>
  <c r="E14" i="10"/>
  <c r="R14" i="10"/>
  <c r="S14" i="10"/>
  <c r="V14" i="10"/>
  <c r="C15" i="10"/>
  <c r="E15" i="10"/>
  <c r="R15" i="10"/>
  <c r="S15" i="10"/>
  <c r="V15" i="10"/>
  <c r="C16" i="10"/>
  <c r="E16" i="10"/>
  <c r="R16" i="10"/>
  <c r="S16" i="10"/>
  <c r="V16" i="10"/>
  <c r="C17" i="10"/>
  <c r="E17" i="10"/>
  <c r="R17" i="10"/>
  <c r="S17" i="10"/>
  <c r="V17" i="10"/>
  <c r="C18" i="10"/>
  <c r="E18" i="10"/>
  <c r="R18" i="10"/>
  <c r="S18" i="10"/>
  <c r="V18" i="10"/>
  <c r="C19" i="10"/>
  <c r="E19" i="10"/>
  <c r="R19" i="10"/>
  <c r="S19" i="10"/>
  <c r="V19" i="10"/>
  <c r="C20" i="10"/>
  <c r="E20" i="10"/>
  <c r="R20" i="10"/>
  <c r="S20" i="10"/>
  <c r="V20" i="10"/>
  <c r="C21" i="10"/>
  <c r="E21" i="10"/>
  <c r="R21" i="10"/>
  <c r="S21" i="10"/>
  <c r="V21" i="10"/>
  <c r="C22" i="10"/>
  <c r="E22" i="10"/>
  <c r="R22" i="10"/>
  <c r="S22" i="10"/>
  <c r="V22" i="10"/>
  <c r="C23" i="10"/>
  <c r="E23" i="10"/>
  <c r="R23" i="10"/>
  <c r="S23" i="10"/>
  <c r="C24" i="10"/>
  <c r="E24" i="10"/>
  <c r="R24" i="10"/>
  <c r="S24" i="10"/>
  <c r="V24" i="10"/>
  <c r="C25" i="10"/>
  <c r="E25" i="10"/>
  <c r="R25" i="10"/>
  <c r="S25" i="10"/>
  <c r="V25" i="10"/>
  <c r="C26" i="10"/>
  <c r="E26" i="10"/>
  <c r="R26" i="10"/>
  <c r="S26" i="10"/>
  <c r="V26" i="10"/>
  <c r="C27" i="10"/>
  <c r="E27" i="10"/>
  <c r="R27" i="10"/>
  <c r="S27" i="10"/>
  <c r="V27" i="10"/>
  <c r="C28" i="10"/>
  <c r="E28" i="10"/>
  <c r="R28" i="10"/>
  <c r="S28" i="10"/>
  <c r="V28" i="10"/>
  <c r="C29" i="10"/>
  <c r="E29" i="10"/>
  <c r="R29" i="10"/>
  <c r="S29" i="10"/>
  <c r="V29" i="10"/>
  <c r="C30" i="10"/>
  <c r="E30" i="10"/>
  <c r="R30" i="10"/>
  <c r="S30" i="10"/>
  <c r="V30" i="10"/>
  <c r="C31" i="10"/>
  <c r="E31" i="10"/>
  <c r="R31" i="10"/>
  <c r="S31" i="10"/>
  <c r="V31" i="10"/>
  <c r="C32" i="10"/>
  <c r="E32" i="10"/>
  <c r="R32" i="10"/>
  <c r="S32" i="10"/>
  <c r="V32" i="10"/>
  <c r="C33" i="10"/>
  <c r="E33" i="10"/>
  <c r="R33" i="10"/>
  <c r="S33" i="10"/>
  <c r="V33" i="10"/>
  <c r="C34" i="10"/>
  <c r="E34" i="10"/>
  <c r="R34" i="10"/>
  <c r="S34" i="10"/>
  <c r="V34" i="10"/>
  <c r="C35" i="10"/>
  <c r="E35" i="10"/>
  <c r="R35" i="10"/>
  <c r="S35" i="10"/>
  <c r="V35" i="10"/>
  <c r="C36" i="10"/>
  <c r="E36" i="10"/>
  <c r="R36" i="10"/>
  <c r="S36" i="10"/>
  <c r="V36" i="10"/>
  <c r="C37" i="10"/>
  <c r="E37" i="10"/>
  <c r="R37" i="10"/>
  <c r="S37" i="10"/>
  <c r="V37" i="10"/>
  <c r="C38" i="10"/>
  <c r="E38" i="10"/>
  <c r="R38" i="10"/>
  <c r="S38" i="10"/>
  <c r="V38" i="10"/>
  <c r="C39" i="10"/>
  <c r="E39" i="10"/>
  <c r="R39" i="10"/>
  <c r="S39" i="10"/>
  <c r="V39" i="10"/>
  <c r="B41" i="10"/>
  <c r="M41" i="10"/>
  <c r="M42" i="10"/>
  <c r="M43" i="10"/>
  <c r="M44" i="10"/>
  <c r="G45" i="10"/>
  <c r="W2" i="9"/>
  <c r="G3" i="9"/>
  <c r="W3" i="9"/>
  <c r="W4" i="9"/>
  <c r="W5" i="9"/>
  <c r="C9" i="9"/>
  <c r="E9" i="9"/>
  <c r="R9" i="9"/>
  <c r="S9" i="9"/>
  <c r="V9" i="9"/>
  <c r="C10" i="9"/>
  <c r="E10" i="9"/>
  <c r="R10" i="9"/>
  <c r="S10" i="9"/>
  <c r="V10" i="9"/>
  <c r="C11" i="9"/>
  <c r="E11" i="9"/>
  <c r="R11" i="9"/>
  <c r="S11" i="9"/>
  <c r="V11" i="9"/>
  <c r="C12" i="9"/>
  <c r="E12" i="9"/>
  <c r="R12" i="9"/>
  <c r="S12" i="9"/>
  <c r="V12" i="9"/>
  <c r="C13" i="9"/>
  <c r="E13" i="9"/>
  <c r="R13" i="9"/>
  <c r="S13" i="9"/>
  <c r="V13" i="9"/>
  <c r="C14" i="9"/>
  <c r="E14" i="9"/>
  <c r="R14" i="9"/>
  <c r="S14" i="9"/>
  <c r="V14" i="9"/>
  <c r="C15" i="9"/>
  <c r="E15" i="9"/>
  <c r="R15" i="9"/>
  <c r="S15" i="9"/>
  <c r="V15" i="9"/>
  <c r="C16" i="9"/>
  <c r="E16" i="9"/>
  <c r="R16" i="9"/>
  <c r="S16" i="9"/>
  <c r="V16" i="9"/>
  <c r="C17" i="9"/>
  <c r="E17" i="9"/>
  <c r="R17" i="9"/>
  <c r="S17" i="9"/>
  <c r="V17" i="9"/>
  <c r="C18" i="9"/>
  <c r="E18" i="9"/>
  <c r="R18" i="9"/>
  <c r="S18" i="9"/>
  <c r="V18" i="9"/>
  <c r="C19" i="9"/>
  <c r="E19" i="9"/>
  <c r="R19" i="9"/>
  <c r="S19" i="9"/>
  <c r="V19" i="9"/>
  <c r="C20" i="9"/>
  <c r="E20" i="9"/>
  <c r="R20" i="9"/>
  <c r="S20" i="9"/>
  <c r="V20" i="9"/>
  <c r="C21" i="9"/>
  <c r="E21" i="9"/>
  <c r="R21" i="9"/>
  <c r="S21" i="9"/>
  <c r="V21" i="9"/>
  <c r="C22" i="9"/>
  <c r="E22" i="9"/>
  <c r="R22" i="9"/>
  <c r="S22" i="9"/>
  <c r="V22" i="9"/>
  <c r="C23" i="9"/>
  <c r="E23" i="9"/>
  <c r="R23" i="9"/>
  <c r="S23" i="9"/>
  <c r="C24" i="9"/>
  <c r="E24" i="9"/>
  <c r="R24" i="9"/>
  <c r="S24" i="9"/>
  <c r="V24" i="9"/>
  <c r="C25" i="9"/>
  <c r="E25" i="9"/>
  <c r="R25" i="9"/>
  <c r="S25" i="9"/>
  <c r="V25" i="9"/>
  <c r="C26" i="9"/>
  <c r="E26" i="9"/>
  <c r="R26" i="9"/>
  <c r="S26" i="9"/>
  <c r="V26" i="9"/>
  <c r="C27" i="9"/>
  <c r="E27" i="9"/>
  <c r="R27" i="9"/>
  <c r="S27" i="9"/>
  <c r="V27" i="9"/>
  <c r="C28" i="9"/>
  <c r="E28" i="9"/>
  <c r="R28" i="9"/>
  <c r="S28" i="9"/>
  <c r="V28" i="9"/>
  <c r="C29" i="9"/>
  <c r="E29" i="9"/>
  <c r="R29" i="9"/>
  <c r="S29" i="9"/>
  <c r="V29" i="9"/>
  <c r="C30" i="9"/>
  <c r="E30" i="9"/>
  <c r="R30" i="9"/>
  <c r="S30" i="9"/>
  <c r="V30" i="9"/>
  <c r="C31" i="9"/>
  <c r="E31" i="9"/>
  <c r="R31" i="9"/>
  <c r="S31" i="9"/>
  <c r="V31" i="9"/>
  <c r="C32" i="9"/>
  <c r="E32" i="9"/>
  <c r="R32" i="9"/>
  <c r="S32" i="9"/>
  <c r="V32" i="9"/>
  <c r="C33" i="9"/>
  <c r="E33" i="9"/>
  <c r="R33" i="9"/>
  <c r="S33" i="9"/>
  <c r="V33" i="9"/>
  <c r="C34" i="9"/>
  <c r="E34" i="9"/>
  <c r="R34" i="9"/>
  <c r="S34" i="9"/>
  <c r="V34" i="9"/>
  <c r="C35" i="9"/>
  <c r="E35" i="9"/>
  <c r="R35" i="9"/>
  <c r="S35" i="9"/>
  <c r="V35" i="9"/>
  <c r="C36" i="9"/>
  <c r="E36" i="9"/>
  <c r="R36" i="9"/>
  <c r="S36" i="9"/>
  <c r="V36" i="9"/>
  <c r="C37" i="9"/>
  <c r="E37" i="9"/>
  <c r="R37" i="9"/>
  <c r="S37" i="9"/>
  <c r="V37" i="9"/>
  <c r="C38" i="9"/>
  <c r="E38" i="9"/>
  <c r="R38" i="9"/>
  <c r="S38" i="9"/>
  <c r="V38" i="9"/>
  <c r="R39" i="9"/>
  <c r="S39" i="9"/>
  <c r="B41" i="9"/>
  <c r="M41" i="9"/>
  <c r="M42" i="9"/>
  <c r="M43" i="9"/>
  <c r="M44" i="9"/>
  <c r="G45" i="9"/>
  <c r="W2" i="8"/>
  <c r="G3" i="8"/>
  <c r="W3" i="8"/>
  <c r="W4" i="8"/>
  <c r="W5" i="8"/>
  <c r="C9" i="8"/>
  <c r="E9" i="8"/>
  <c r="R9" i="8"/>
  <c r="S9" i="8"/>
  <c r="V9" i="8"/>
  <c r="C10" i="8"/>
  <c r="E10" i="8"/>
  <c r="R10" i="8"/>
  <c r="S10" i="8"/>
  <c r="V10" i="8"/>
  <c r="C11" i="8"/>
  <c r="E11" i="8"/>
  <c r="R11" i="8"/>
  <c r="S11" i="8"/>
  <c r="V11" i="8"/>
  <c r="C12" i="8"/>
  <c r="E12" i="8"/>
  <c r="R12" i="8"/>
  <c r="S12" i="8"/>
  <c r="V12" i="8"/>
  <c r="C13" i="8"/>
  <c r="E13" i="8"/>
  <c r="R13" i="8"/>
  <c r="S13" i="8"/>
  <c r="V13" i="8"/>
  <c r="C14" i="8"/>
  <c r="E14" i="8"/>
  <c r="R14" i="8"/>
  <c r="S14" i="8"/>
  <c r="V14" i="8"/>
  <c r="C15" i="8"/>
  <c r="E15" i="8"/>
  <c r="R15" i="8"/>
  <c r="S15" i="8"/>
  <c r="V15" i="8"/>
  <c r="C16" i="8"/>
  <c r="E16" i="8"/>
  <c r="R16" i="8"/>
  <c r="S16" i="8"/>
  <c r="V16" i="8"/>
  <c r="C17" i="8"/>
  <c r="E17" i="8"/>
  <c r="R17" i="8"/>
  <c r="S17" i="8"/>
  <c r="V17" i="8"/>
  <c r="C18" i="8"/>
  <c r="E18" i="8"/>
  <c r="R18" i="8"/>
  <c r="S18" i="8"/>
  <c r="V18" i="8"/>
  <c r="C19" i="8"/>
  <c r="E19" i="8"/>
  <c r="R19" i="8"/>
  <c r="S19" i="8"/>
  <c r="V19" i="8"/>
  <c r="C20" i="8"/>
  <c r="E20" i="8"/>
  <c r="R20" i="8"/>
  <c r="S20" i="8"/>
  <c r="V20" i="8"/>
  <c r="C21" i="8"/>
  <c r="E21" i="8"/>
  <c r="R21" i="8"/>
  <c r="S21" i="8"/>
  <c r="V21" i="8"/>
  <c r="C22" i="8"/>
  <c r="E22" i="8"/>
  <c r="R22" i="8"/>
  <c r="S22" i="8"/>
  <c r="V22" i="8"/>
  <c r="C23" i="8"/>
  <c r="E23" i="8"/>
  <c r="R23" i="8"/>
  <c r="S23" i="8"/>
  <c r="C24" i="8"/>
  <c r="E24" i="8"/>
  <c r="R24" i="8"/>
  <c r="S24" i="8"/>
  <c r="V24" i="8"/>
  <c r="C25" i="8"/>
  <c r="E25" i="8"/>
  <c r="R25" i="8"/>
  <c r="S25" i="8"/>
  <c r="V25" i="8"/>
  <c r="C26" i="8"/>
  <c r="E26" i="8"/>
  <c r="R26" i="8"/>
  <c r="S26" i="8"/>
  <c r="V26" i="8"/>
  <c r="C27" i="8"/>
  <c r="E27" i="8"/>
  <c r="R27" i="8"/>
  <c r="S27" i="8"/>
  <c r="V27" i="8"/>
  <c r="C28" i="8"/>
  <c r="E28" i="8"/>
  <c r="R28" i="8"/>
  <c r="S28" i="8"/>
  <c r="V28" i="8"/>
  <c r="C29" i="8"/>
  <c r="E29" i="8"/>
  <c r="R29" i="8"/>
  <c r="S29" i="8"/>
  <c r="V29" i="8"/>
  <c r="C30" i="8"/>
  <c r="E30" i="8"/>
  <c r="R30" i="8"/>
  <c r="S30" i="8"/>
  <c r="V30" i="8"/>
  <c r="C31" i="8"/>
  <c r="E31" i="8"/>
  <c r="R31" i="8"/>
  <c r="S31" i="8"/>
  <c r="V31" i="8"/>
  <c r="C32" i="8"/>
  <c r="E32" i="8"/>
  <c r="R32" i="8"/>
  <c r="S32" i="8"/>
  <c r="V32" i="8"/>
  <c r="C33" i="8"/>
  <c r="E33" i="8"/>
  <c r="R33" i="8"/>
  <c r="S33" i="8"/>
  <c r="V33" i="8"/>
  <c r="C34" i="8"/>
  <c r="E34" i="8"/>
  <c r="R34" i="8"/>
  <c r="S34" i="8"/>
  <c r="V34" i="8"/>
  <c r="C35" i="8"/>
  <c r="E35" i="8"/>
  <c r="R35" i="8"/>
  <c r="S35" i="8"/>
  <c r="V35" i="8"/>
  <c r="C36" i="8"/>
  <c r="E36" i="8"/>
  <c r="R36" i="8"/>
  <c r="S36" i="8"/>
  <c r="V36" i="8"/>
  <c r="C37" i="8"/>
  <c r="E37" i="8"/>
  <c r="R37" i="8"/>
  <c r="S37" i="8"/>
  <c r="V37" i="8"/>
  <c r="C38" i="8"/>
  <c r="E38" i="8"/>
  <c r="R38" i="8"/>
  <c r="S38" i="8"/>
  <c r="V38" i="8"/>
  <c r="C39" i="8"/>
  <c r="E39" i="8"/>
  <c r="R39" i="8"/>
  <c r="S39" i="8"/>
  <c r="V39" i="8"/>
  <c r="B41" i="8"/>
  <c r="M41" i="8"/>
  <c r="M42" i="8"/>
  <c r="M43" i="8"/>
  <c r="M44" i="8"/>
  <c r="G45" i="8"/>
  <c r="W2" i="6"/>
  <c r="G3" i="6"/>
  <c r="W3" i="6"/>
  <c r="W4" i="6"/>
  <c r="W5" i="6"/>
  <c r="C9" i="6"/>
  <c r="E9" i="6"/>
  <c r="R9" i="6"/>
  <c r="S9" i="6"/>
  <c r="V9" i="6"/>
  <c r="C10" i="6"/>
  <c r="E10" i="6"/>
  <c r="R10" i="6"/>
  <c r="S10" i="6"/>
  <c r="V10" i="6"/>
  <c r="C11" i="6"/>
  <c r="E11" i="6"/>
  <c r="R11" i="6"/>
  <c r="S11" i="6"/>
  <c r="V11" i="6"/>
  <c r="C12" i="6"/>
  <c r="E12" i="6"/>
  <c r="R12" i="6"/>
  <c r="S12" i="6"/>
  <c r="V12" i="6"/>
  <c r="C13" i="6"/>
  <c r="E13" i="6"/>
  <c r="R13" i="6"/>
  <c r="S13" i="6"/>
  <c r="V13" i="6"/>
  <c r="C14" i="6"/>
  <c r="E14" i="6"/>
  <c r="R14" i="6"/>
  <c r="S14" i="6"/>
  <c r="V14" i="6"/>
  <c r="C15" i="6"/>
  <c r="E15" i="6"/>
  <c r="R15" i="6"/>
  <c r="S15" i="6"/>
  <c r="V15" i="6"/>
  <c r="C16" i="6"/>
  <c r="E16" i="6"/>
  <c r="R16" i="6"/>
  <c r="S16" i="6"/>
  <c r="V16" i="6"/>
  <c r="C17" i="6"/>
  <c r="E17" i="6"/>
  <c r="R17" i="6"/>
  <c r="S17" i="6"/>
  <c r="V17" i="6"/>
  <c r="C18" i="6"/>
  <c r="E18" i="6"/>
  <c r="R18" i="6"/>
  <c r="S18" i="6"/>
  <c r="V18" i="6"/>
  <c r="C19" i="6"/>
  <c r="E19" i="6"/>
  <c r="R19" i="6"/>
  <c r="S19" i="6"/>
  <c r="V19" i="6"/>
  <c r="C20" i="6"/>
  <c r="E20" i="6"/>
  <c r="R20" i="6"/>
  <c r="S20" i="6"/>
  <c r="V20" i="6"/>
  <c r="C21" i="6"/>
  <c r="E21" i="6"/>
  <c r="R21" i="6"/>
  <c r="S21" i="6"/>
  <c r="V21" i="6"/>
  <c r="C22" i="6"/>
  <c r="E22" i="6"/>
  <c r="R22" i="6"/>
  <c r="S22" i="6"/>
  <c r="V22" i="6"/>
  <c r="C23" i="6"/>
  <c r="E23" i="6"/>
  <c r="R23" i="6"/>
  <c r="S23" i="6"/>
  <c r="C24" i="6"/>
  <c r="E24" i="6"/>
  <c r="R24" i="6"/>
  <c r="S24" i="6"/>
  <c r="V24" i="6"/>
  <c r="C25" i="6"/>
  <c r="E25" i="6"/>
  <c r="R25" i="6"/>
  <c r="S25" i="6"/>
  <c r="V25" i="6"/>
  <c r="C26" i="6"/>
  <c r="E26" i="6"/>
  <c r="R26" i="6"/>
  <c r="S26" i="6"/>
  <c r="V26" i="6"/>
  <c r="C27" i="6"/>
  <c r="E27" i="6"/>
  <c r="R27" i="6"/>
  <c r="S27" i="6"/>
  <c r="V27" i="6"/>
  <c r="C28" i="6"/>
  <c r="E28" i="6"/>
  <c r="R28" i="6"/>
  <c r="S28" i="6"/>
  <c r="V28" i="6"/>
  <c r="C29" i="6"/>
  <c r="E29" i="6"/>
  <c r="R29" i="6"/>
  <c r="S29" i="6"/>
  <c r="V29" i="6"/>
  <c r="C30" i="6"/>
  <c r="E30" i="6"/>
  <c r="R30" i="6"/>
  <c r="S30" i="6"/>
  <c r="V30" i="6"/>
  <c r="C31" i="6"/>
  <c r="E31" i="6"/>
  <c r="R31" i="6"/>
  <c r="S31" i="6"/>
  <c r="V31" i="6"/>
  <c r="C32" i="6"/>
  <c r="E32" i="6"/>
  <c r="R32" i="6"/>
  <c r="S32" i="6"/>
  <c r="V32" i="6"/>
  <c r="C33" i="6"/>
  <c r="E33" i="6"/>
  <c r="R33" i="6"/>
  <c r="S33" i="6"/>
  <c r="V33" i="6"/>
  <c r="C34" i="6"/>
  <c r="E34" i="6"/>
  <c r="R34" i="6"/>
  <c r="S34" i="6"/>
  <c r="V34" i="6"/>
  <c r="C35" i="6"/>
  <c r="E35" i="6"/>
  <c r="R35" i="6"/>
  <c r="S35" i="6"/>
  <c r="V35" i="6"/>
  <c r="C36" i="6"/>
  <c r="E36" i="6"/>
  <c r="R36" i="6"/>
  <c r="S36" i="6"/>
  <c r="V36" i="6"/>
  <c r="C37" i="6"/>
  <c r="E37" i="6"/>
  <c r="R37" i="6"/>
  <c r="S37" i="6"/>
  <c r="V37" i="6"/>
  <c r="C38" i="6"/>
  <c r="E38" i="6"/>
  <c r="R38" i="6"/>
  <c r="S38" i="6"/>
  <c r="V38" i="6"/>
  <c r="C39" i="6"/>
  <c r="E39" i="6"/>
  <c r="R39" i="6"/>
  <c r="S39" i="6"/>
  <c r="V39" i="6"/>
  <c r="B41" i="6"/>
  <c r="M41" i="6"/>
  <c r="M42" i="6"/>
  <c r="M43" i="6"/>
  <c r="M44" i="6"/>
  <c r="G45" i="6"/>
  <c r="W2" i="14"/>
  <c r="G3" i="14"/>
  <c r="W3" i="14"/>
  <c r="W4" i="14"/>
  <c r="W5" i="14"/>
  <c r="C9" i="14"/>
  <c r="E9" i="14"/>
  <c r="R9" i="14"/>
  <c r="S9" i="14"/>
  <c r="V9" i="14"/>
  <c r="C10" i="14"/>
  <c r="E10" i="14"/>
  <c r="R10" i="14"/>
  <c r="S10" i="14"/>
  <c r="V10" i="14"/>
  <c r="C11" i="14"/>
  <c r="E11" i="14"/>
  <c r="R11" i="14"/>
  <c r="S11" i="14"/>
  <c r="V11" i="14"/>
  <c r="C12" i="14"/>
  <c r="E12" i="14"/>
  <c r="R12" i="14"/>
  <c r="S12" i="14"/>
  <c r="V12" i="14"/>
  <c r="C13" i="14"/>
  <c r="E13" i="14"/>
  <c r="R13" i="14"/>
  <c r="S13" i="14"/>
  <c r="V13" i="14"/>
  <c r="C14" i="14"/>
  <c r="E14" i="14"/>
  <c r="R14" i="14"/>
  <c r="S14" i="14"/>
  <c r="V14" i="14"/>
  <c r="C15" i="14"/>
  <c r="E15" i="14"/>
  <c r="R15" i="14"/>
  <c r="S15" i="14"/>
  <c r="V15" i="14"/>
  <c r="C16" i="14"/>
  <c r="E16" i="14"/>
  <c r="R16" i="14"/>
  <c r="S16" i="14"/>
  <c r="V16" i="14"/>
  <c r="C17" i="14"/>
  <c r="E17" i="14"/>
  <c r="R17" i="14"/>
  <c r="S17" i="14"/>
  <c r="V17" i="14"/>
  <c r="C18" i="14"/>
  <c r="E18" i="14"/>
  <c r="R18" i="14"/>
  <c r="S18" i="14"/>
  <c r="V18" i="14"/>
  <c r="C19" i="14"/>
  <c r="E19" i="14"/>
  <c r="R19" i="14"/>
  <c r="S19" i="14"/>
  <c r="V19" i="14"/>
  <c r="C20" i="14"/>
  <c r="E20" i="14"/>
  <c r="R20" i="14"/>
  <c r="S20" i="14"/>
  <c r="V20" i="14"/>
  <c r="C21" i="14"/>
  <c r="E21" i="14"/>
  <c r="R21" i="14"/>
  <c r="S21" i="14"/>
  <c r="V21" i="14"/>
  <c r="C22" i="14"/>
  <c r="E22" i="14"/>
  <c r="R22" i="14"/>
  <c r="S22" i="14"/>
  <c r="V22" i="14"/>
  <c r="C23" i="14"/>
  <c r="E23" i="14"/>
  <c r="R23" i="14"/>
  <c r="S23" i="14"/>
  <c r="C24" i="14"/>
  <c r="E24" i="14"/>
  <c r="R24" i="14"/>
  <c r="S24" i="14"/>
  <c r="V24" i="14"/>
  <c r="C25" i="14"/>
  <c r="E25" i="14"/>
  <c r="R25" i="14"/>
  <c r="S25" i="14"/>
  <c r="V25" i="14"/>
  <c r="C26" i="14"/>
  <c r="E26" i="14"/>
  <c r="R26" i="14"/>
  <c r="S26" i="14"/>
  <c r="V26" i="14"/>
  <c r="C27" i="14"/>
  <c r="E27" i="14"/>
  <c r="R27" i="14"/>
  <c r="S27" i="14"/>
  <c r="V27" i="14"/>
  <c r="C28" i="14"/>
  <c r="E28" i="14"/>
  <c r="R28" i="14"/>
  <c r="S28" i="14"/>
  <c r="V28" i="14"/>
  <c r="C29" i="14"/>
  <c r="E29" i="14"/>
  <c r="R29" i="14"/>
  <c r="S29" i="14"/>
  <c r="V29" i="14"/>
  <c r="C30" i="14"/>
  <c r="E30" i="14"/>
  <c r="R30" i="14"/>
  <c r="S30" i="14"/>
  <c r="V30" i="14"/>
  <c r="C31" i="14"/>
  <c r="E31" i="14"/>
  <c r="R31" i="14"/>
  <c r="S31" i="14"/>
  <c r="V31" i="14"/>
  <c r="C32" i="14"/>
  <c r="E32" i="14"/>
  <c r="R32" i="14"/>
  <c r="S32" i="14"/>
  <c r="V32" i="14"/>
  <c r="C33" i="14"/>
  <c r="E33" i="14"/>
  <c r="R33" i="14"/>
  <c r="S33" i="14"/>
  <c r="V33" i="14"/>
  <c r="C34" i="14"/>
  <c r="E34" i="14"/>
  <c r="R34" i="14"/>
  <c r="S34" i="14"/>
  <c r="V34" i="14"/>
  <c r="C35" i="14"/>
  <c r="E35" i="14"/>
  <c r="R35" i="14"/>
  <c r="S35" i="14"/>
  <c r="V35" i="14"/>
  <c r="C36" i="14"/>
  <c r="E36" i="14"/>
  <c r="R36" i="14"/>
  <c r="S36" i="14"/>
  <c r="V36" i="14"/>
  <c r="C37" i="14"/>
  <c r="E37" i="14"/>
  <c r="R37" i="14"/>
  <c r="S37" i="14"/>
  <c r="V37" i="14"/>
  <c r="C38" i="14"/>
  <c r="E38" i="14"/>
  <c r="R38" i="14"/>
  <c r="S38" i="14"/>
  <c r="V38" i="14"/>
  <c r="R39" i="14"/>
  <c r="S39" i="14"/>
  <c r="B41" i="14"/>
  <c r="M41" i="14"/>
  <c r="M42" i="14"/>
  <c r="M43" i="14"/>
  <c r="M44" i="14"/>
  <c r="G45" i="14"/>
  <c r="W2" i="13"/>
  <c r="G3" i="13"/>
  <c r="W3" i="13"/>
  <c r="W4" i="13"/>
  <c r="W5" i="13"/>
  <c r="C9" i="13"/>
  <c r="E9" i="13"/>
  <c r="R9" i="13"/>
  <c r="S9" i="13"/>
  <c r="V9" i="13"/>
  <c r="C10" i="13"/>
  <c r="E10" i="13"/>
  <c r="R10" i="13"/>
  <c r="S10" i="13"/>
  <c r="V10" i="13"/>
  <c r="C11" i="13"/>
  <c r="E11" i="13"/>
  <c r="R11" i="13"/>
  <c r="S11" i="13"/>
  <c r="V11" i="13"/>
  <c r="C12" i="13"/>
  <c r="E12" i="13"/>
  <c r="R12" i="13"/>
  <c r="S12" i="13"/>
  <c r="V12" i="13"/>
  <c r="C13" i="13"/>
  <c r="E13" i="13"/>
  <c r="R13" i="13"/>
  <c r="S13" i="13"/>
  <c r="V13" i="13"/>
  <c r="C14" i="13"/>
  <c r="E14" i="13"/>
  <c r="R14" i="13"/>
  <c r="S14" i="13"/>
  <c r="V14" i="13"/>
  <c r="C15" i="13"/>
  <c r="E15" i="13"/>
  <c r="R15" i="13"/>
  <c r="S15" i="13"/>
  <c r="V15" i="13"/>
  <c r="C16" i="13"/>
  <c r="E16" i="13"/>
  <c r="R16" i="13"/>
  <c r="S16" i="13"/>
  <c r="V16" i="13"/>
  <c r="C17" i="13"/>
  <c r="E17" i="13"/>
  <c r="R17" i="13"/>
  <c r="S17" i="13"/>
  <c r="V17" i="13"/>
  <c r="C18" i="13"/>
  <c r="E18" i="13"/>
  <c r="R18" i="13"/>
  <c r="S18" i="13"/>
  <c r="V18" i="13"/>
  <c r="C19" i="13"/>
  <c r="E19" i="13"/>
  <c r="R19" i="13"/>
  <c r="S19" i="13"/>
  <c r="V19" i="13"/>
  <c r="C20" i="13"/>
  <c r="E20" i="13"/>
  <c r="R20" i="13"/>
  <c r="S20" i="13"/>
  <c r="V20" i="13"/>
  <c r="C21" i="13"/>
  <c r="E21" i="13"/>
  <c r="R21" i="13"/>
  <c r="S21" i="13"/>
  <c r="V21" i="13"/>
  <c r="C22" i="13"/>
  <c r="E22" i="13"/>
  <c r="R22" i="13"/>
  <c r="S22" i="13"/>
  <c r="V22" i="13"/>
  <c r="C23" i="13"/>
  <c r="E23" i="13"/>
  <c r="R23" i="13"/>
  <c r="S23" i="13"/>
  <c r="C24" i="13"/>
  <c r="E24" i="13"/>
  <c r="R24" i="13"/>
  <c r="S24" i="13"/>
  <c r="V24" i="13"/>
  <c r="C25" i="13"/>
  <c r="E25" i="13"/>
  <c r="R25" i="13"/>
  <c r="S25" i="13"/>
  <c r="V25" i="13"/>
  <c r="C26" i="13"/>
  <c r="E26" i="13"/>
  <c r="R26" i="13"/>
  <c r="S26" i="13"/>
  <c r="V26" i="13"/>
  <c r="C27" i="13"/>
  <c r="E27" i="13"/>
  <c r="R27" i="13"/>
  <c r="S27" i="13"/>
  <c r="V27" i="13"/>
  <c r="C28" i="13"/>
  <c r="E28" i="13"/>
  <c r="R28" i="13"/>
  <c r="S28" i="13"/>
  <c r="V28" i="13"/>
  <c r="C29" i="13"/>
  <c r="E29" i="13"/>
  <c r="R29" i="13"/>
  <c r="S29" i="13"/>
  <c r="V29" i="13"/>
  <c r="C30" i="13"/>
  <c r="E30" i="13"/>
  <c r="R30" i="13"/>
  <c r="S30" i="13"/>
  <c r="V30" i="13"/>
  <c r="C31" i="13"/>
  <c r="E31" i="13"/>
  <c r="R31" i="13"/>
  <c r="S31" i="13"/>
  <c r="V31" i="13"/>
  <c r="C32" i="13"/>
  <c r="E32" i="13"/>
  <c r="R32" i="13"/>
  <c r="S32" i="13"/>
  <c r="V32" i="13"/>
  <c r="C33" i="13"/>
  <c r="E33" i="13"/>
  <c r="R33" i="13"/>
  <c r="S33" i="13"/>
  <c r="V33" i="13"/>
  <c r="C34" i="13"/>
  <c r="E34" i="13"/>
  <c r="R34" i="13"/>
  <c r="S34" i="13"/>
  <c r="V34" i="13"/>
  <c r="C35" i="13"/>
  <c r="E35" i="13"/>
  <c r="R35" i="13"/>
  <c r="S35" i="13"/>
  <c r="V35" i="13"/>
  <c r="C36" i="13"/>
  <c r="E36" i="13"/>
  <c r="R36" i="13"/>
  <c r="S36" i="13"/>
  <c r="V36" i="13"/>
  <c r="C37" i="13"/>
  <c r="E37" i="13"/>
  <c r="R37" i="13"/>
  <c r="S37" i="13"/>
  <c r="V37" i="13"/>
  <c r="C38" i="13"/>
  <c r="E38" i="13"/>
  <c r="R38" i="13"/>
  <c r="S38" i="13"/>
  <c r="V38" i="13"/>
  <c r="C39" i="13"/>
  <c r="E39" i="13"/>
  <c r="R39" i="13"/>
  <c r="S39" i="13"/>
  <c r="V39" i="13"/>
  <c r="B41" i="13"/>
  <c r="M41" i="13"/>
  <c r="M42" i="13"/>
  <c r="M43" i="13"/>
  <c r="M44" i="13"/>
  <c r="G45" i="13"/>
  <c r="W2" i="12"/>
  <c r="G3" i="12"/>
  <c r="W3" i="12"/>
  <c r="W4" i="12"/>
  <c r="W5" i="12"/>
  <c r="C9" i="12"/>
  <c r="E9" i="12"/>
  <c r="R9" i="12"/>
  <c r="S9" i="12"/>
  <c r="V9" i="12"/>
  <c r="C10" i="12"/>
  <c r="E10" i="12"/>
  <c r="R10" i="12"/>
  <c r="S10" i="12"/>
  <c r="V10" i="12"/>
  <c r="C11" i="12"/>
  <c r="E11" i="12"/>
  <c r="R11" i="12"/>
  <c r="S11" i="12"/>
  <c r="V11" i="12"/>
  <c r="C12" i="12"/>
  <c r="E12" i="12"/>
  <c r="R12" i="12"/>
  <c r="S12" i="12"/>
  <c r="V12" i="12"/>
  <c r="C13" i="12"/>
  <c r="E13" i="12"/>
  <c r="R13" i="12"/>
  <c r="S13" i="12"/>
  <c r="V13" i="12"/>
  <c r="C14" i="12"/>
  <c r="E14" i="12"/>
  <c r="R14" i="12"/>
  <c r="S14" i="12"/>
  <c r="V14" i="12"/>
  <c r="C15" i="12"/>
  <c r="E15" i="12"/>
  <c r="R15" i="12"/>
  <c r="S15" i="12"/>
  <c r="V15" i="12"/>
  <c r="C16" i="12"/>
  <c r="E16" i="12"/>
  <c r="R16" i="12"/>
  <c r="S16" i="12"/>
  <c r="V16" i="12"/>
  <c r="C17" i="12"/>
  <c r="E17" i="12"/>
  <c r="R17" i="12"/>
  <c r="S17" i="12"/>
  <c r="V17" i="12"/>
  <c r="C18" i="12"/>
  <c r="E18" i="12"/>
  <c r="R18" i="12"/>
  <c r="S18" i="12"/>
  <c r="V18" i="12"/>
  <c r="C19" i="12"/>
  <c r="E19" i="12"/>
  <c r="R19" i="12"/>
  <c r="S19" i="12"/>
  <c r="V19" i="12"/>
  <c r="C20" i="12"/>
  <c r="E20" i="12"/>
  <c r="R20" i="12"/>
  <c r="S20" i="12"/>
  <c r="V20" i="12"/>
  <c r="C21" i="12"/>
  <c r="E21" i="12"/>
  <c r="R21" i="12"/>
  <c r="S21" i="12"/>
  <c r="V21" i="12"/>
  <c r="C22" i="12"/>
  <c r="E22" i="12"/>
  <c r="R22" i="12"/>
  <c r="S22" i="12"/>
  <c r="V22" i="12"/>
  <c r="C23" i="12"/>
  <c r="E23" i="12"/>
  <c r="R23" i="12"/>
  <c r="S23" i="12"/>
  <c r="C24" i="12"/>
  <c r="E24" i="12"/>
  <c r="R24" i="12"/>
  <c r="S24" i="12"/>
  <c r="V24" i="12"/>
  <c r="C25" i="12"/>
  <c r="E25" i="12"/>
  <c r="R25" i="12"/>
  <c r="S25" i="12"/>
  <c r="V25" i="12"/>
  <c r="C26" i="12"/>
  <c r="E26" i="12"/>
  <c r="R26" i="12"/>
  <c r="S26" i="12"/>
  <c r="V26" i="12"/>
  <c r="C27" i="12"/>
  <c r="E27" i="12"/>
  <c r="R27" i="12"/>
  <c r="S27" i="12"/>
  <c r="V27" i="12"/>
  <c r="C28" i="12"/>
  <c r="E28" i="12"/>
  <c r="R28" i="12"/>
  <c r="S28" i="12"/>
  <c r="V28" i="12"/>
  <c r="C29" i="12"/>
  <c r="E29" i="12"/>
  <c r="R29" i="12"/>
  <c r="S29" i="12"/>
  <c r="V29" i="12"/>
  <c r="C30" i="12"/>
  <c r="E30" i="12"/>
  <c r="R30" i="12"/>
  <c r="S30" i="12"/>
  <c r="V30" i="12"/>
  <c r="C31" i="12"/>
  <c r="E31" i="12"/>
  <c r="R31" i="12"/>
  <c r="S31" i="12"/>
  <c r="V31" i="12"/>
  <c r="C32" i="12"/>
  <c r="E32" i="12"/>
  <c r="R32" i="12"/>
  <c r="S32" i="12"/>
  <c r="V32" i="12"/>
  <c r="C33" i="12"/>
  <c r="E33" i="12"/>
  <c r="R33" i="12"/>
  <c r="S33" i="12"/>
  <c r="V33" i="12"/>
  <c r="C34" i="12"/>
  <c r="E34" i="12"/>
  <c r="R34" i="12"/>
  <c r="S34" i="12"/>
  <c r="V34" i="12"/>
  <c r="C35" i="12"/>
  <c r="E35" i="12"/>
  <c r="R35" i="12"/>
  <c r="S35" i="12"/>
  <c r="V35" i="12"/>
  <c r="C36" i="12"/>
  <c r="E36" i="12"/>
  <c r="R36" i="12"/>
  <c r="S36" i="12"/>
  <c r="V36" i="12"/>
  <c r="C37" i="12"/>
  <c r="E37" i="12"/>
  <c r="R37" i="12"/>
  <c r="S37" i="12"/>
  <c r="V37" i="12"/>
  <c r="C38" i="12"/>
  <c r="E38" i="12"/>
  <c r="R38" i="12"/>
  <c r="S38" i="12"/>
  <c r="V38" i="12"/>
  <c r="R39" i="12"/>
  <c r="S39" i="12"/>
  <c r="B41" i="12"/>
  <c r="M41" i="12"/>
  <c r="M42" i="12"/>
  <c r="M43" i="12"/>
  <c r="M45" i="12"/>
  <c r="G45" i="12"/>
  <c r="D11" i="3"/>
  <c r="B18" i="3"/>
  <c r="B28" i="3"/>
  <c r="C33" i="3"/>
  <c r="G33" i="3"/>
  <c r="C35" i="3"/>
  <c r="G35" i="3"/>
  <c r="C37" i="3"/>
  <c r="G37" i="3"/>
  <c r="D38" i="3"/>
  <c r="D39" i="3"/>
  <c r="B45" i="3"/>
</calcChain>
</file>

<file path=xl/sharedStrings.xml><?xml version="1.0" encoding="utf-8"?>
<sst xmlns="http://schemas.openxmlformats.org/spreadsheetml/2006/main" count="829" uniqueCount="252">
  <si>
    <t>DIÖZESE GURK</t>
  </si>
  <si>
    <t xml:space="preserve">Dienststundennachweis für </t>
  </si>
  <si>
    <t xml:space="preserve">   Die aktuelle Jahreszahl eingeben!</t>
  </si>
  <si>
    <t>Für:</t>
  </si>
  <si>
    <t>Dienststelle:</t>
  </si>
  <si>
    <t>Jänner</t>
  </si>
  <si>
    <t xml:space="preserve">h/Tag  </t>
  </si>
  <si>
    <t>Feber</t>
  </si>
  <si>
    <t>März</t>
  </si>
  <si>
    <t>April</t>
  </si>
  <si>
    <t>Mai</t>
  </si>
  <si>
    <t>Juni</t>
  </si>
  <si>
    <t xml:space="preserve">    a = J Mod 19</t>
  </si>
  <si>
    <t>h</t>
  </si>
  <si>
    <t>Montag:</t>
  </si>
  <si>
    <t xml:space="preserve">    b = J Mod 4</t>
  </si>
  <si>
    <r>
      <t>ï</t>
    </r>
    <r>
      <rPr>
        <sz val="8"/>
        <rFont val="Arial"/>
        <family val="2"/>
      </rPr>
      <t xml:space="preserve"> Den verbleibenden Resturlaub in Stunden per 31.12. des Vorjahres eintragen.</t>
    </r>
  </si>
  <si>
    <t>Dienstag:</t>
  </si>
  <si>
    <t xml:space="preserve">    c = J Mod 7</t>
  </si>
  <si>
    <t>Mittwoch:</t>
  </si>
  <si>
    <t xml:space="preserve">    d = (19 * a + 24) Mod 30</t>
  </si>
  <si>
    <t>Donnerstag:</t>
  </si>
  <si>
    <t xml:space="preserve">    e = (2 * b + 4 * c + 6 * d + 5) Mod 7</t>
  </si>
  <si>
    <t>Freitag:</t>
  </si>
  <si>
    <t xml:space="preserve">         OT = 22 + d + e</t>
  </si>
  <si>
    <t>Samstag:</t>
  </si>
  <si>
    <t xml:space="preserve">    If OT &gt; 31 Then</t>
  </si>
  <si>
    <t>Generelle</t>
  </si>
  <si>
    <t>Wochenzeit</t>
  </si>
  <si>
    <t xml:space="preserve">       OT = d + e - 9</t>
  </si>
  <si>
    <t>Arbeitszeiten:</t>
  </si>
  <si>
    <t>Korrektur Urlaub</t>
  </si>
  <si>
    <t xml:space="preserve">       OM = 4</t>
  </si>
  <si>
    <t xml:space="preserve">Wenn sich während des Jahres das Beschäftigungsausmaß ändern sollte, </t>
  </si>
  <si>
    <t>Arbeitszeitmodell</t>
  </si>
  <si>
    <t xml:space="preserve">    End If</t>
  </si>
  <si>
    <t>dann ist dies in den betreffenden Monaten zu korrigieren!</t>
  </si>
  <si>
    <t xml:space="preserve">    If OT = 26 And OM = 4 Then</t>
  </si>
  <si>
    <t>Um die Korrektur vorzunehmen wenden Sie sich bitte an das Lohnbüro.</t>
  </si>
  <si>
    <t xml:space="preserve">       OT = 19</t>
  </si>
  <si>
    <t>Juli</t>
  </si>
  <si>
    <t>August</t>
  </si>
  <si>
    <t>September</t>
  </si>
  <si>
    <t>Oktober</t>
  </si>
  <si>
    <t>November</t>
  </si>
  <si>
    <t>Dezember</t>
  </si>
  <si>
    <t xml:space="preserve">    If OT = 25 And OM = 4 And d = 28 And e = 6 And a &gt; 10 Then</t>
  </si>
  <si>
    <t xml:space="preserve">Wochenarbeitszeit:  </t>
  </si>
  <si>
    <t xml:space="preserve">       OT = 18</t>
  </si>
  <si>
    <t>Arbeitstage pro Woche:</t>
  </si>
  <si>
    <t>Tage</t>
  </si>
  <si>
    <t>J=Jahreszahl</t>
  </si>
  <si>
    <t>Definieren Sie dass auf Sie zutreffende Arbeitszeitmodell:</t>
  </si>
  <si>
    <t>1 = Fixe Arbeitszeit    2 = Gleitende Arbeitszeit    3 = Flexible Arbeitszeit</t>
  </si>
  <si>
    <t>Arbeitszeitmodell:</t>
  </si>
  <si>
    <r>
      <t>Fixe Arbeitszeit</t>
    </r>
    <r>
      <rPr>
        <sz val="10"/>
        <color indexed="55"/>
        <rFont val="Arial"/>
        <family val="2"/>
      </rPr>
      <t xml:space="preserve">  (Zeiten ohne Aufwertung: Mo-Fr:  06.00 - 20.00 Uhr  -  Sa:  06.00 - 13.00 Uhr)</t>
    </r>
  </si>
  <si>
    <r>
      <t>Gleitende Arbeitszeit</t>
    </r>
    <r>
      <rPr>
        <sz val="10"/>
        <color indexed="55"/>
        <rFont val="Arial"/>
        <family val="2"/>
      </rPr>
      <t xml:space="preserve">  (Zeiten ohne Aufwertung: Mo-Fr:  06.00 - 20.00 Uhr  -  Sa:  06.00 - 13.00 Uhr)</t>
    </r>
  </si>
  <si>
    <r>
      <t>Flexible Arbeitszeit</t>
    </r>
    <r>
      <rPr>
        <sz val="10"/>
        <color indexed="55"/>
        <rFont val="Arial"/>
        <family val="2"/>
      </rPr>
      <t xml:space="preserve">  (Zeiten ohne Aufwertung: Mo-Fr:  06.00 - 22.00 Uhr  -  Sa:  06.00 - 18.00 Uhr)</t>
    </r>
  </si>
  <si>
    <t>Unmittelbarer Vorgesetzter:</t>
  </si>
  <si>
    <t>Die auf Sie zutreffenden Dienstfreien Tage sind mit der Ziffer 1 kennzuzeichnen</t>
  </si>
  <si>
    <t>Die "blau-geschriebenen" Tage, die für Sie nicht dienstfrei sind dürfen kein Zeichen bzw. Ziffer aufweisen!</t>
  </si>
  <si>
    <t>Neujahr</t>
  </si>
  <si>
    <t>Hl. drei Könige</t>
  </si>
  <si>
    <t>Josefitag</t>
  </si>
  <si>
    <t>Karfreitag</t>
  </si>
  <si>
    <t>Ostermontag</t>
  </si>
  <si>
    <t>Staatsfeiertag</t>
  </si>
  <si>
    <t>Christi Himmelfahrt</t>
  </si>
  <si>
    <t>Pfingstmontag</t>
  </si>
  <si>
    <t>Dienstag nach Pfingsten</t>
  </si>
  <si>
    <t>Fronleichnam</t>
  </si>
  <si>
    <t>Maria Himmelfahrt</t>
  </si>
  <si>
    <t>Nationalfeiertag</t>
  </si>
  <si>
    <t>Allerheiligen</t>
  </si>
  <si>
    <t>Allerseelen</t>
  </si>
  <si>
    <t>Maria Empfängnis</t>
  </si>
  <si>
    <t>Hl. Abend</t>
  </si>
  <si>
    <t>Christtag</t>
  </si>
  <si>
    <t>Stephanitag</t>
  </si>
  <si>
    <t>Silvester</t>
  </si>
  <si>
    <t>Informationen zur Arbeitszeitaufzeichnung:</t>
  </si>
  <si>
    <t>1. Grundlegende Bestimmungen laut Arbeitszeitgesetz</t>
  </si>
  <si>
    <t>Die wöchentliche Normalarbeitszeit beträgt für vollzeitbeschäftigte DienstnehmerInnen ohne Ruhepausen 40 Stunden, die tägliche Normalarbeitszeit 8 Stunden.</t>
  </si>
  <si>
    <t xml:space="preserve">Beträgt die tägliche Arbeitszeit mehr als 6 Stunden, ist eine unbezahlte Ruhepause von mindestens 30 Minuten einzuhalten. </t>
  </si>
  <si>
    <t>Diese Ruhepause kann einvernehmlich auch auf mehrere kleine Ruhepausen aufgeteilt werden.</t>
  </si>
  <si>
    <t>Bei flexiblen Arbeitszeitmodellen kann mit dieser Betriebsvereinbarung die tägliche Höchstarbeitszeit auf 10 Stunden ausgedehnt werden.</t>
  </si>
  <si>
    <t xml:space="preserve">Nach Beendigung der Tagesarbeitszeit ist eine ununterbrochene Ruhezeit von mindestens 11 Stunden einzuhalten. </t>
  </si>
  <si>
    <t>Stundenbewertung:</t>
  </si>
  <si>
    <t>Sa: 6.00-18 Uhr – Bewertung: 1:1 / 18.00-22.00 Uhr – Bewertung: 1:1,5</t>
  </si>
  <si>
    <t>Die Arbeit am Ersatzruhetag wird mit 1:2 bewertet.</t>
  </si>
  <si>
    <t>Die Arbeitszeit soll im Jahresdurchschnitt nicht mehr als zwei Abende pro Woche betragen.</t>
  </si>
  <si>
    <t xml:space="preserve">Durchrechnungszeitraum: </t>
  </si>
  <si>
    <t xml:space="preserve">1.10. bis 30.9. des Folgejahres. </t>
  </si>
  <si>
    <t>Zeitguthaben bzw. Zeitschulden dürfen das Ausmaß des Dienstverhältnisses nicht überschreiten.</t>
  </si>
  <si>
    <t>3. Regelung für Veranstaltungen wie Reisen, Wallfahrten und Jugendlager</t>
  </si>
  <si>
    <t>Die Tagesarbeitszeit wird mit bis zu 10 Stunden Normalarbeitszeit abgegolten.</t>
  </si>
  <si>
    <t>4.  Arbeitszeitaufzeichnungen</t>
  </si>
  <si>
    <t>Der/die Dienstnehmer/in ist verpflichtet, die Arbeitszeit aufzuzeichnen.</t>
  </si>
  <si>
    <t>Der Dienstgeber stellt dafür ein entsprechendes Formular zu Verfügung.</t>
  </si>
  <si>
    <t>Die Arbeitszeitaufzeichnung ist dem dienstr. Vorgesetzten bis zum 15. des Folgemonats zur Unterschrift vorzulegen.</t>
  </si>
  <si>
    <t>Das Formular ist an die Personalverrechnung im Ordinariat zu übermitteln.</t>
  </si>
  <si>
    <t>An das Lohnbüro der DIÖZESE GURK</t>
  </si>
  <si>
    <t>Mariannengasse 2, 9010 Klagenfurt</t>
  </si>
  <si>
    <t>Meldung</t>
  </si>
  <si>
    <t>X</t>
  </si>
  <si>
    <t xml:space="preserve"> Urlaub</t>
  </si>
  <si>
    <t>Bestätigung</t>
  </si>
  <si>
    <r>
      <t xml:space="preserve"> Sonderurlaub </t>
    </r>
    <r>
      <rPr>
        <sz val="8"/>
        <rFont val="Arial"/>
        <family val="2"/>
      </rPr>
      <t>(unbezahlt)</t>
    </r>
  </si>
  <si>
    <t xml:space="preserve"> Zeitausgleich</t>
  </si>
  <si>
    <t xml:space="preserve"> Pflegeurlaub</t>
  </si>
  <si>
    <r>
      <t xml:space="preserve"> Freizeitgewährung </t>
    </r>
    <r>
      <rPr>
        <sz val="8"/>
        <rFont val="Arial"/>
        <family val="2"/>
      </rPr>
      <t>(bezahlt)</t>
    </r>
  </si>
  <si>
    <t xml:space="preserve"> Dienstreise</t>
  </si>
  <si>
    <t>Dienstnehmer/-in:</t>
  </si>
  <si>
    <t>Abwesenheit von</t>
  </si>
  <si>
    <t>TT.MM.JJJJ</t>
  </si>
  <si>
    <t>bis</t>
  </si>
  <si>
    <t>Der genannte Zeitraum umfasst</t>
  </si>
  <si>
    <t xml:space="preserve">  Arbeitsstunden.</t>
  </si>
  <si>
    <t xml:space="preserve">  Arbeitsstunden</t>
  </si>
  <si>
    <t>Bestätigung des unmittelbaren</t>
  </si>
  <si>
    <t>Dienstgeber</t>
  </si>
  <si>
    <t>Dienstnehmer</t>
  </si>
  <si>
    <t>Vorgesetzten</t>
  </si>
  <si>
    <t>%</t>
  </si>
  <si>
    <t xml:space="preserve">  Stunden</t>
  </si>
  <si>
    <t>Dienststundennachweis für</t>
  </si>
  <si>
    <t>Arbeitszeit</t>
  </si>
  <si>
    <t>Unterbrechung(en)</t>
  </si>
  <si>
    <t>Aufwertung</t>
  </si>
  <si>
    <t>Krank</t>
  </si>
  <si>
    <t>Urlaub</t>
  </si>
  <si>
    <t>Norm.</t>
  </si>
  <si>
    <t>Aufw.</t>
  </si>
  <si>
    <t>Tages</t>
  </si>
  <si>
    <t>Tätigkeiten</t>
  </si>
  <si>
    <t>von</t>
  </si>
  <si>
    <t>1 : 1,5</t>
  </si>
  <si>
    <t>1 : 2</t>
  </si>
  <si>
    <t>STD</t>
  </si>
  <si>
    <r>
      <t xml:space="preserve">Summe Monatsstunden </t>
    </r>
    <r>
      <rPr>
        <sz val="8"/>
        <rFont val="Arial"/>
        <family val="2"/>
      </rPr>
      <t>(inkl. Urlaub/Krankenstand)</t>
    </r>
  </si>
  <si>
    <t xml:space="preserve"> Auszahlung Über-/Mehrstunden:</t>
  </si>
  <si>
    <t xml:space="preserve"> Vermerke:</t>
  </si>
  <si>
    <t xml:space="preserve"> Ausgezahlt am :</t>
  </si>
  <si>
    <t xml:space="preserve"> Ausgedruckt am:</t>
  </si>
  <si>
    <t>:</t>
  </si>
  <si>
    <t>Datum</t>
  </si>
  <si>
    <t>Dauer</t>
  </si>
  <si>
    <t>Zweck der</t>
  </si>
  <si>
    <t>R e i s e w e g</t>
  </si>
  <si>
    <t>Projekt-</t>
  </si>
  <si>
    <t>Mit-</t>
  </si>
  <si>
    <t>WEGSTRECKE (km)</t>
  </si>
  <si>
    <t>KOSTEN</t>
  </si>
  <si>
    <t>Übernachtung(en)</t>
  </si>
  <si>
    <t>der Reise</t>
  </si>
  <si>
    <t>Beginn</t>
  </si>
  <si>
    <t>Ende</t>
  </si>
  <si>
    <t>Dienstreise</t>
  </si>
  <si>
    <t>von - nach</t>
  </si>
  <si>
    <t>nummer</t>
  </si>
  <si>
    <t>fahrer</t>
  </si>
  <si>
    <t>LSt-frei</t>
  </si>
  <si>
    <t>LSt-pfl.</t>
  </si>
  <si>
    <t>öffentl. V.-Mittel</t>
  </si>
  <si>
    <t>Selbstverpflegung</t>
  </si>
  <si>
    <t>Ich versichere, dass alle Angaben der Wahrheit entsprechen und für diese Kosten von keiner anderen Stelle Ersatz geleistet wird.</t>
  </si>
  <si>
    <t>KOSTENBERECHNUNG:</t>
  </si>
  <si>
    <t>€/km</t>
  </si>
  <si>
    <t>Betrag</t>
  </si>
  <si>
    <t xml:space="preserve">Kostenersatz öffentl. Verkehrsmittel </t>
  </si>
  <si>
    <t>Fahrtkosten LSt.-Frei</t>
  </si>
  <si>
    <t>Fahrtkosten LSt.-pflichtig</t>
  </si>
  <si>
    <t>Mitfahrer (pro km und Mitfahrer)</t>
  </si>
  <si>
    <r>
      <t xml:space="preserve">Übernachtungs-/Selbstverpflegungkosten </t>
    </r>
    <r>
      <rPr>
        <sz val="8"/>
        <rFont val="Arial"/>
        <family val="2"/>
      </rPr>
      <t>(lt. Belegen)</t>
    </r>
  </si>
  <si>
    <t>Summe Reisekosten:</t>
  </si>
  <si>
    <t>Bearbeitungsvermerk</t>
  </si>
  <si>
    <t>Finanzkammer:</t>
  </si>
  <si>
    <t>Erläuterungen zum Ausfüllen des Antrags:</t>
  </si>
  <si>
    <t>Text</t>
  </si>
  <si>
    <t>Ort Abfahrt - Reiseziel - Ort Rückkehr</t>
  </si>
  <si>
    <t>Projektnummer:</t>
  </si>
  <si>
    <t>Ist der Zweck der Fahrt projektbezogen, dann ist die jeweilige Projektnummer einzutragen.</t>
  </si>
  <si>
    <t>Mitfahrer:</t>
  </si>
  <si>
    <t>Werden Personen mitgenommen, dann ist die Anzahl der mitgenommenen Personen in der Spalte "Mitfahrer" einzutragen.</t>
  </si>
  <si>
    <t>KOSTEN öffentl. V.-Mittel:</t>
  </si>
  <si>
    <t>Erfolgt die Reise mit einem öffentlichen Verkehrsmittel, dann sind die angefallen Kosten (sofern diese selbst bezahlt wurden) einzutragen und der Beleg.</t>
  </si>
  <si>
    <t>ist beizulegen.</t>
  </si>
  <si>
    <t>Erfolgte die Reise mit dem Privat-PKW und es wurde die Reise nur mittels öffentlichen Verkehrsmittel genehmigt, dann können nur die Kosten des</t>
  </si>
  <si>
    <t>öffentlichen Verkehrsmittels (Tarif laut Vorteils- oder Businesscard) verrechnet werden.</t>
  </si>
  <si>
    <t>Selbstverpflegung:</t>
  </si>
  <si>
    <t>Kosten für Übernachtung(en) und Selbstverpflegung sind betragsmäßig entsprechend einzutragen. Die Belege dazu sind dem Antrag beizulegen.</t>
  </si>
  <si>
    <t>Januar</t>
  </si>
  <si>
    <t>Februar</t>
  </si>
  <si>
    <t>Bei den angeführten Wochentagen ist die Normalarbeitszeit pro Tag einzugeben.</t>
  </si>
  <si>
    <t xml:space="preserve">     Gibt es weitere freie Tag(e) in der Woche, dann ist bei diesen der Wert   0,00    hineinzuschreiben.</t>
  </si>
  <si>
    <t>Funktion:</t>
  </si>
  <si>
    <r>
      <t>ï</t>
    </r>
    <r>
      <rPr>
        <sz val="7"/>
        <rFont val="Arial"/>
        <family val="2"/>
      </rPr>
      <t xml:space="preserve"> Finanzkammer/Ordinariat/Bischöfliches Seelsorgeamt /Pfarre etc. eingeben.</t>
    </r>
  </si>
  <si>
    <t xml:space="preserve">     Beim Tag, der als Ersatzruhetag definiert wird, ist das Wort  Ersatzruhetag  hineinzuschreiben. (Gilt für PastoralassistenInnen, Pastoralhilfen und Pastoralbetreuer)</t>
  </si>
  <si>
    <t xml:space="preserve">     Dieser Wochentag sollte dann in den Monatsblättern färbig gekennzeichnet sein. Wenn das nicht der Fall ist, dann wurde das Wort Ersatzruhetag falsch geschrieben.</t>
  </si>
  <si>
    <t>19. März</t>
  </si>
  <si>
    <t>Dienstag nach Ostern</t>
  </si>
  <si>
    <t>MitarbeiterInnen der Zentralstellen:</t>
  </si>
  <si>
    <t>MitarbeiterInnen in pastoralen Einrichtungen:</t>
  </si>
  <si>
    <t>2. November</t>
  </si>
  <si>
    <t>24. Dezember</t>
  </si>
  <si>
    <t>31. Dezember</t>
  </si>
  <si>
    <t>Regelung der Dienstfreien Tage</t>
  </si>
  <si>
    <t>und unter Tätigkeiten "Dienstfreier Tag" zu vermerken.</t>
  </si>
  <si>
    <t>(Am zusätzlichen freien Tag ist in der ZK die Normalarbeitszeit zu schreiben</t>
  </si>
  <si>
    <t>Zusätzlicher mit dem Pfarrer zu vereinbarender Tag</t>
  </si>
  <si>
    <t>Die Wochenendruhe beträgt 36 Stunden, in die der Sonntag zu fallen hat. Ist dies dienstlich nicht möglich, so ist dafür eine Ersatzruhe (= freier Tag; Gesamtausmaß 36 Stunden) festzulegen.</t>
  </si>
  <si>
    <t>2. Arbeitszeitmodelle</t>
  </si>
  <si>
    <t>2.1. Fixe Arbeitszeiten</t>
  </si>
  <si>
    <t xml:space="preserve">Mo-Fr: 6.00-20.00 Uhr </t>
  </si>
  <si>
    <t>Sa: 6.00-13 Uhr</t>
  </si>
  <si>
    <t>Mindestens ein Wochenende (36 Stunden) pro Monat hat dienstfrei zu sein. Für Teilzeitkräfte gilt diese Regelung verhältnismäßig (Anstellung 20 Wochenstunden: 2 Wochenenden dienstfrei).</t>
  </si>
  <si>
    <t>2.2  Gleitende Arbeitszeiten (Pfarrsekretär/innen, MitarbeiterInnen der Zentralstellen)</t>
  </si>
  <si>
    <t>Gleitzeitrahmen:</t>
  </si>
  <si>
    <t xml:space="preserve">Sa: 6.00-13 Uhr </t>
  </si>
  <si>
    <t>Am Sonntag gilt die Wochenendruhe im Ausmaß von 36 Stunden.</t>
  </si>
  <si>
    <t>Tätigkeiten außerhalb des Gleitzeitrahmens gelten als Überstunden und sind nur mit ausdrücklicher Genehmigung des dienstrechtlichen Vorgesetzten erlaubt.</t>
  </si>
  <si>
    <t xml:space="preserve">2.3  Flexibles Arbeitszeitmodell (gilt für alle Pastoralassistent/innen,  </t>
  </si>
  <si>
    <t>Pastoralbetreuer/innen und Pastoralhilfen):</t>
  </si>
  <si>
    <t>Mo-Fr: 6.00-22.00 Uhr – Bewertung: 1:1 (22.00-6.00 Uhr = Nachtarbeits-zeit; Bewertung: 1:2)</t>
  </si>
  <si>
    <t>Die Nachtbereitschaft zur Betreuung von Kindern und Jugendlichen wird zwischen 22.00 und 6.00 Uhr für Personen, die damit beauftragt sind zusätzlich pauschal mit 6 Stunden im Verhältnis 1:1 abgegolten.</t>
  </si>
  <si>
    <t xml:space="preserve">Fixe Arbeitszeiten sind Arbeitszeitmodelle mit täglich regelmäßig oder auf die Woche unregelmäßig verteilten genau festgelegten Arbeitszeiten. </t>
  </si>
  <si>
    <t xml:space="preserve">Hier sind die Arbeitszeiten fix und somit kommt es im Regelfall auch zu keinen Überstunden. </t>
  </si>
  <si>
    <t xml:space="preserve">So: 2 Stunden werden mit 1:1 bewertet. Jede weitere Stunde mit 1:1,5 </t>
  </si>
  <si>
    <t xml:space="preserve">(Die Mitfeier eines Gottesdienstes pro Sonntag oder kirchlichem Feiertag wird vorausgesetzt und darf nicht als Arbeitszeit gerechnet werden, </t>
  </si>
  <si>
    <t>auch wenn dieser Gottesdienst von der oder dem betreffenden Mitarbeiter/in geleitet oder mitgestaltet wird.)</t>
  </si>
  <si>
    <t xml:space="preserve">Bei diesem Arbeitszeitmodell werden einerseits fixe Kernzeiten vereinbart. Andererseits kann ein Teil der Dienstzeit gleitend wahrgenommen werden. </t>
  </si>
  <si>
    <t>Dabei muss die Gleitzeit mindestens 30% des Anstellungsverhältnisses ausmachen.</t>
  </si>
  <si>
    <t xml:space="preserve">Das flexible Arbeitszeitmodell kommt zur Anwendung, wenn aufgrund unterschiedlich anfallender Arbeitserfordernisse weitgehende Flexibilität in der Arbeitszeitgestaltung </t>
  </si>
  <si>
    <t xml:space="preserve">durch den/die Mitarbeiter/in notwendig ist. Verbindliche Anwesenheitszeiten im Ausmaß von 30% können entsprechend den Erfordernissen der Dienststelle festgelegt werden. </t>
  </si>
  <si>
    <r>
      <t xml:space="preserve">So: 2 Stunden werden mit 1:1 bewertet. Jede weitere Stunde mit 1:1,5 (Die Mitfeier </t>
    </r>
    <r>
      <rPr>
        <u/>
        <sz val="10"/>
        <color indexed="8"/>
        <rFont val="Arial"/>
        <family val="2"/>
      </rPr>
      <t>eines</t>
    </r>
    <r>
      <rPr>
        <sz val="10"/>
        <color indexed="8"/>
        <rFont val="Arial"/>
        <family val="2"/>
      </rPr>
      <t xml:space="preserve"> Gottesdienstes pro Sonntag oder kirchlichem Feiertag wird vorausgesetzt </t>
    </r>
  </si>
  <si>
    <t>und darf nicht als Arbeitszeit gerechnet werden, auch wenn dieser Gottesdienst von der oder dem betreffenden Mitarbeiter/in geleitet oder mitgestaltet wird.)</t>
  </si>
  <si>
    <t>Diese Informationen sind eine Zusammenfassung der „Betriebsvereinbarung betreffend Arbeitszeit“</t>
  </si>
  <si>
    <r>
      <t xml:space="preserve">Kirchenzeitung </t>
    </r>
    <r>
      <rPr>
        <sz val="10"/>
        <color indexed="55"/>
        <rFont val="Arial"/>
        <family val="2"/>
      </rPr>
      <t>(lt. Journalisten-KV)</t>
    </r>
  </si>
  <si>
    <t>______ h</t>
  </si>
  <si>
    <t>________ h</t>
  </si>
  <si>
    <t>Sonntag:</t>
  </si>
  <si>
    <t>Vorname Familienname</t>
  </si>
  <si>
    <t>Name des unm. Vorgesetzten</t>
  </si>
  <si>
    <t xml:space="preserve">         OM = 3</t>
  </si>
  <si>
    <t>OM= Monat des Ostersonntags</t>
  </si>
  <si>
    <t>OT=Tag des Ostersonntags innerhalb des Monats.</t>
  </si>
  <si>
    <t>Osterrsonntag</t>
  </si>
  <si>
    <t>Datum:</t>
  </si>
  <si>
    <t>Bezeichnung der Dienststelle</t>
  </si>
  <si>
    <t>Angabe der Funktion</t>
  </si>
  <si>
    <t>Pfingstsonntag</t>
  </si>
  <si>
    <r>
      <t>ï</t>
    </r>
    <r>
      <rPr>
        <sz val="8"/>
        <rFont val="Arial"/>
        <family val="2"/>
      </rPr>
      <t xml:space="preserve"> Z.B. 25 Tage = 5 Wochen  -  bei einer Wochenarbeitszeit von 40 h ergeben sich dann 2000 h Urlaubsanspruch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</si>
</sst>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#,##0.00&quot;  &quot;"/>
    <numFmt numFmtId="165" formatCode="0.00\ "/>
    <numFmt numFmtId="166" formatCode="0&quot;    &quot;"/>
    <numFmt numFmtId="167" formatCode="ddd&quot;, &quot;dd/mmm/yyyy"/>
    <numFmt numFmtId="168" formatCode="mmmm\ yyyy"/>
    <numFmt numFmtId="169" formatCode="0.00&quot; h&quot;"/>
    <numFmt numFmtId="170" formatCode="d/"/>
    <numFmt numFmtId="171" formatCode="ddd"/>
    <numFmt numFmtId="172" formatCode="0.00&quot;  &quot;"/>
    <numFmt numFmtId="173" formatCode="0.00&quot; h &quot;"/>
    <numFmt numFmtId="174" formatCode="#,##0&quot;  &quot;"/>
    <numFmt numFmtId="175" formatCode="&quot;&quot;;&quot;&quot;;&quot;&quot;;&quot;&quot;"/>
    <numFmt numFmtId="176" formatCode="0.00&quot;  h &quot;"/>
    <numFmt numFmtId="177" formatCode="#,###.00&quot;  h &quot;"/>
    <numFmt numFmtId="178" formatCode="#,##0.00\ "/>
    <numFmt numFmtId="179" formatCode="#,##0.00&quot; € &quot;"/>
    <numFmt numFmtId="180" formatCode="#,##0.00&quot; €&quot;"/>
    <numFmt numFmtId="181" formatCode="#,##0.00&quot; €   &quot;"/>
    <numFmt numFmtId="182" formatCode="#,##0.00&quot; km&quot;"/>
    <numFmt numFmtId="183" formatCode="0.00&quot;  h    &quot;"/>
    <numFmt numFmtId="184" formatCode="#,##0.00&quot;  h&quot;"/>
    <numFmt numFmtId="185" formatCode="#,##0.00&quot;  h    &quot;"/>
    <numFmt numFmtId="186" formatCode="0.00&quot;  h&quot;"/>
    <numFmt numFmtId="187" formatCode="#,##0.00&quot; Wochen&quot;"/>
    <numFmt numFmtId="188" formatCode="ddd/d"/>
    <numFmt numFmtId="189" formatCode="0&quot; &quot;"/>
    <numFmt numFmtId="190" formatCode="#,##0.00&quot;  h &quot;"/>
    <numFmt numFmtId="191" formatCode="0.00&quot;          &quot;"/>
    <numFmt numFmtId="192" formatCode="ddd\,\ dd/mmm/yyyy"/>
  </numFmts>
  <fonts count="106"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8"/>
      <name val="Arial CE"/>
      <family val="2"/>
    </font>
    <font>
      <b/>
      <sz val="26"/>
      <name val="Arial CE"/>
      <family val="2"/>
    </font>
    <font>
      <b/>
      <sz val="20"/>
      <name val="Arial CE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7"/>
      <name val="Wingdings"/>
      <charset val="2"/>
    </font>
    <font>
      <sz val="7"/>
      <name val="Arial"/>
      <family val="2"/>
    </font>
    <font>
      <b/>
      <i/>
      <sz val="14"/>
      <name val="Arial CE"/>
      <family val="2"/>
    </font>
    <font>
      <b/>
      <sz val="14"/>
      <name val="Arial CE"/>
      <family val="2"/>
    </font>
    <font>
      <sz val="7"/>
      <color indexed="23"/>
      <name val="Arial"/>
      <family val="2"/>
    </font>
    <font>
      <b/>
      <i/>
      <sz val="20"/>
      <name val="Arial CE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8"/>
      <color indexed="22"/>
      <name val="Arial"/>
      <family val="2"/>
    </font>
    <font>
      <sz val="8"/>
      <color indexed="22"/>
      <name val="Arial Unicode MS"/>
      <family val="2"/>
    </font>
    <font>
      <sz val="11"/>
      <name val="Arial"/>
      <family val="2"/>
    </font>
    <font>
      <sz val="8"/>
      <name val="Wingdings"/>
      <charset val="2"/>
    </font>
    <font>
      <b/>
      <sz val="14"/>
      <color indexed="10"/>
      <name val="Arial"/>
      <family val="2"/>
    </font>
    <font>
      <b/>
      <sz val="7"/>
      <color indexed="22"/>
      <name val="Arial"/>
      <family val="2"/>
    </font>
    <font>
      <sz val="8"/>
      <color indexed="10"/>
      <name val="Arial"/>
      <family val="2"/>
    </font>
    <font>
      <sz val="14"/>
      <name val="Arial"/>
      <family val="2"/>
    </font>
    <font>
      <b/>
      <sz val="8"/>
      <color indexed="10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sz val="7"/>
      <color indexed="22"/>
      <name val="Arial"/>
      <family val="2"/>
    </font>
    <font>
      <b/>
      <u/>
      <sz val="11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4"/>
      <name val="Wingdings"/>
      <charset val="2"/>
    </font>
    <font>
      <b/>
      <sz val="11"/>
      <color indexed="12"/>
      <name val="Arial"/>
      <family val="2"/>
    </font>
    <font>
      <i/>
      <sz val="12"/>
      <name val="Arial CE"/>
      <family val="2"/>
    </font>
    <font>
      <b/>
      <u/>
      <sz val="10"/>
      <name val="Arial"/>
      <family val="2"/>
    </font>
    <font>
      <i/>
      <sz val="8"/>
      <name val="Arial CE"/>
      <family val="2"/>
    </font>
    <font>
      <b/>
      <sz val="10"/>
      <color indexed="10"/>
      <name val="Arial"/>
      <family val="2"/>
    </font>
    <font>
      <b/>
      <sz val="10"/>
      <color indexed="55"/>
      <name val="Arial"/>
      <family val="2"/>
    </font>
    <font>
      <sz val="10"/>
      <color indexed="55"/>
      <name val="Arial"/>
      <family val="2"/>
    </font>
    <font>
      <b/>
      <sz val="11"/>
      <color indexed="10"/>
      <name val="Arial CE"/>
      <family val="2"/>
    </font>
    <font>
      <b/>
      <sz val="11"/>
      <name val="Arial CE"/>
      <family val="2"/>
    </font>
    <font>
      <sz val="8"/>
      <name val="Arial CE"/>
      <family val="2"/>
    </font>
    <font>
      <b/>
      <sz val="10"/>
      <color indexed="10"/>
      <name val="Wingdings"/>
      <charset val="2"/>
    </font>
    <font>
      <b/>
      <i/>
      <sz val="8"/>
      <name val="Arial CE"/>
      <family val="2"/>
    </font>
    <font>
      <b/>
      <sz val="8"/>
      <color indexed="12"/>
      <name val="Arial CE"/>
      <family val="2"/>
    </font>
    <font>
      <b/>
      <i/>
      <sz val="8"/>
      <color indexed="12"/>
      <name val="Arial CE"/>
      <family val="2"/>
    </font>
    <font>
      <sz val="10"/>
      <color indexed="10"/>
      <name val="Arial"/>
      <family val="2"/>
    </font>
    <font>
      <b/>
      <sz val="8"/>
      <name val="Arial CE"/>
      <family val="2"/>
    </font>
    <font>
      <sz val="7"/>
      <color indexed="10"/>
      <name val="Arial"/>
      <family val="2"/>
    </font>
    <font>
      <sz val="8"/>
      <color indexed="23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12"/>
      <name val="Arial"/>
      <family val="2"/>
    </font>
    <font>
      <u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u/>
      <sz val="10"/>
      <name val="Arial"/>
      <family val="2"/>
    </font>
    <font>
      <sz val="10"/>
      <name val="Wingdings 2"/>
      <family val="1"/>
      <charset val="2"/>
    </font>
    <font>
      <b/>
      <sz val="9"/>
      <name val="Arial"/>
      <family val="2"/>
    </font>
    <font>
      <sz val="4"/>
      <name val="Arial"/>
      <family val="2"/>
    </font>
    <font>
      <b/>
      <sz val="4"/>
      <name val="Arial"/>
      <family val="2"/>
    </font>
    <font>
      <sz val="4"/>
      <color indexed="23"/>
      <name val="Arial"/>
      <family val="2"/>
    </font>
    <font>
      <b/>
      <sz val="7"/>
      <color indexed="17"/>
      <name val="Arial"/>
      <family val="2"/>
    </font>
    <font>
      <b/>
      <u/>
      <sz val="8"/>
      <name val="Arial"/>
      <family val="2"/>
    </font>
    <font>
      <sz val="6"/>
      <name val="Arial"/>
      <family val="2"/>
    </font>
    <font>
      <b/>
      <vertAlign val="superscript"/>
      <sz val="12"/>
      <name val="Arial"/>
      <family val="2"/>
    </font>
    <font>
      <sz val="10"/>
      <color indexed="9"/>
      <name val="Arial"/>
      <family val="2"/>
    </font>
    <font>
      <sz val="7.5"/>
      <color indexed="12"/>
      <name val="Arial"/>
      <family val="2"/>
    </font>
    <font>
      <b/>
      <sz val="7.5"/>
      <color indexed="16"/>
      <name val="Arial"/>
      <family val="2"/>
    </font>
    <font>
      <sz val="6"/>
      <color indexed="9"/>
      <name val="Arial"/>
      <family val="2"/>
    </font>
    <font>
      <b/>
      <sz val="8"/>
      <color indexed="8"/>
      <name val="Arial"/>
      <family val="2"/>
    </font>
    <font>
      <sz val="7"/>
      <color indexed="21"/>
      <name val="Arial"/>
      <family val="2"/>
    </font>
    <font>
      <sz val="8"/>
      <color indexed="9"/>
      <name val="Arial"/>
      <family val="2"/>
    </font>
    <font>
      <sz val="7.5"/>
      <name val="Arial"/>
      <family val="2"/>
    </font>
    <font>
      <b/>
      <sz val="10"/>
      <color indexed="17"/>
      <name val="Arial"/>
      <family val="2"/>
    </font>
    <font>
      <b/>
      <sz val="14"/>
      <color indexed="23"/>
      <name val="Arial"/>
      <family val="2"/>
    </font>
    <font>
      <b/>
      <sz val="11"/>
      <color indexed="23"/>
      <name val="Arial"/>
      <family val="2"/>
    </font>
    <font>
      <b/>
      <sz val="12"/>
      <color indexed="23"/>
      <name val="Arial"/>
      <family val="2"/>
    </font>
    <font>
      <sz val="10"/>
      <color indexed="23"/>
      <name val="Arial"/>
      <family val="2"/>
    </font>
    <font>
      <sz val="7"/>
      <name val="Arial"/>
      <family val="2"/>
    </font>
    <font>
      <b/>
      <sz val="8"/>
      <color indexed="20"/>
      <name val="Arial"/>
      <family val="2"/>
    </font>
    <font>
      <sz val="8"/>
      <color indexed="20"/>
      <name val="Arial"/>
      <family val="2"/>
    </font>
    <font>
      <sz val="12"/>
      <color indexed="20"/>
      <name val="Arial"/>
      <family val="2"/>
    </font>
    <font>
      <b/>
      <sz val="8"/>
      <color indexed="57"/>
      <name val="Arial"/>
      <family val="2"/>
    </font>
    <font>
      <sz val="12"/>
      <color indexed="57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8"/>
      <color indexed="17"/>
      <name val="Arial"/>
      <family val="2"/>
    </font>
    <font>
      <sz val="8"/>
      <color indexed="22"/>
      <name val="Arial Unicode MS"/>
      <family val="2"/>
    </font>
    <font>
      <sz val="8"/>
      <name val="Arial CE"/>
    </font>
    <font>
      <i/>
      <sz val="8"/>
      <name val="Arial CE"/>
    </font>
    <font>
      <sz val="8"/>
      <color indexed="22"/>
      <name val="Arial"/>
      <family val="2"/>
    </font>
    <font>
      <sz val="10"/>
      <color indexed="22"/>
      <name val="Arial"/>
      <family val="2"/>
    </font>
    <font>
      <sz val="8"/>
      <name val="Arial CE"/>
      <family val="2"/>
      <charset val="238"/>
    </font>
    <font>
      <b/>
      <sz val="8"/>
      <name val="Arial CE"/>
    </font>
    <font>
      <b/>
      <i/>
      <sz val="8"/>
      <name val="Arial CE"/>
    </font>
    <font>
      <sz val="7"/>
      <color indexed="23"/>
      <name val="Arial"/>
      <family val="2"/>
    </font>
    <font>
      <sz val="8"/>
      <color indexed="23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11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12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12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12"/>
      </left>
      <right style="medium">
        <color indexed="12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medium">
        <color indexed="12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medium">
        <color indexed="12"/>
      </left>
      <right style="thin">
        <color indexed="8"/>
      </right>
      <top style="medium">
        <color indexed="12"/>
      </top>
      <bottom/>
      <diagonal/>
    </border>
    <border>
      <left style="thin">
        <color indexed="8"/>
      </left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hair">
        <color indexed="8"/>
      </left>
      <right/>
      <top style="medium">
        <color indexed="12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55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3" fillId="2" borderId="1" xfId="1" applyFont="1" applyFill="1" applyBorder="1" applyAlignment="1">
      <alignment horizontal="left"/>
    </xf>
    <xf numFmtId="0" fontId="4" fillId="2" borderId="2" xfId="1" applyFont="1" applyFill="1" applyBorder="1"/>
    <xf numFmtId="0" fontId="5" fillId="2" borderId="2" xfId="1" applyFont="1" applyFill="1" applyBorder="1"/>
    <xf numFmtId="0" fontId="6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4" fillId="0" borderId="0" xfId="1" applyFont="1" applyAlignment="1">
      <alignment horizontal="right"/>
    </xf>
    <xf numFmtId="0" fontId="4" fillId="0" borderId="0" xfId="1" applyFont="1"/>
    <xf numFmtId="0" fontId="7" fillId="2" borderId="4" xfId="0" applyFont="1" applyFill="1" applyBorder="1" applyProtection="1">
      <protection locked="0"/>
    </xf>
    <xf numFmtId="0" fontId="0" fillId="2" borderId="0" xfId="0" applyFill="1"/>
    <xf numFmtId="0" fontId="8" fillId="2" borderId="0" xfId="0" applyFont="1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0" fillId="0" borderId="0" xfId="1" applyFont="1" applyAlignment="1">
      <alignment horizontal="left"/>
    </xf>
    <xf numFmtId="0" fontId="10" fillId="0" borderId="0" xfId="1" applyFont="1"/>
    <xf numFmtId="1" fontId="11" fillId="0" borderId="9" xfId="1" applyNumberFormat="1" applyFont="1" applyBorder="1" applyAlignment="1">
      <alignment horizontal="center"/>
    </xf>
    <xf numFmtId="0" fontId="12" fillId="0" borderId="0" xfId="0" applyFont="1"/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6" fillId="2" borderId="10" xfId="0" applyFont="1" applyFill="1" applyBorder="1" applyAlignment="1">
      <alignment horizontal="left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1" fontId="18" fillId="0" borderId="0" xfId="0" applyNumberFormat="1" applyFont="1"/>
    <xf numFmtId="0" fontId="19" fillId="0" borderId="0" xfId="0" applyFont="1"/>
    <xf numFmtId="164" fontId="14" fillId="2" borderId="9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" fillId="2" borderId="11" xfId="0" applyFont="1" applyFill="1" applyBorder="1" applyAlignment="1">
      <alignment horizontal="left"/>
    </xf>
    <xf numFmtId="164" fontId="24" fillId="2" borderId="12" xfId="0" applyNumberFormat="1" applyFont="1" applyFill="1" applyBorder="1"/>
    <xf numFmtId="0" fontId="23" fillId="0" borderId="0" xfId="0" applyFont="1" applyAlignment="1">
      <alignment horizontal="center"/>
    </xf>
    <xf numFmtId="0" fontId="6" fillId="0" borderId="0" xfId="0" applyFont="1"/>
    <xf numFmtId="164" fontId="24" fillId="2" borderId="13" xfId="0" applyNumberFormat="1" applyFont="1" applyFill="1" applyBorder="1"/>
    <xf numFmtId="164" fontId="15" fillId="3" borderId="9" xfId="0" applyNumberFormat="1" applyFont="1" applyFill="1" applyBorder="1"/>
    <xf numFmtId="0" fontId="18" fillId="0" borderId="0" xfId="0" applyFont="1"/>
    <xf numFmtId="4" fontId="22" fillId="0" borderId="0" xfId="0" applyNumberFormat="1" applyFont="1"/>
    <xf numFmtId="0" fontId="25" fillId="0" borderId="0" xfId="0" applyFont="1"/>
    <xf numFmtId="0" fontId="26" fillId="0" borderId="0" xfId="0" applyFont="1" applyAlignment="1">
      <alignment horizontal="left"/>
    </xf>
    <xf numFmtId="0" fontId="27" fillId="0" borderId="0" xfId="0" applyFont="1"/>
    <xf numFmtId="0" fontId="2" fillId="2" borderId="11" xfId="0" applyFont="1" applyFill="1" applyBorder="1"/>
    <xf numFmtId="164" fontId="28" fillId="2" borderId="13" xfId="0" applyNumberFormat="1" applyFont="1" applyFill="1" applyBorder="1"/>
    <xf numFmtId="0" fontId="15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" fillId="2" borderId="14" xfId="0" applyFont="1" applyFill="1" applyBorder="1"/>
    <xf numFmtId="164" fontId="16" fillId="2" borderId="15" xfId="0" applyNumberFormat="1" applyFont="1" applyFill="1" applyBorder="1"/>
    <xf numFmtId="0" fontId="30" fillId="0" borderId="0" xfId="0" applyFont="1"/>
    <xf numFmtId="0" fontId="9" fillId="0" borderId="16" xfId="0" applyFont="1" applyBorder="1"/>
    <xf numFmtId="0" fontId="9" fillId="0" borderId="17" xfId="0" applyFont="1" applyBorder="1"/>
    <xf numFmtId="0" fontId="31" fillId="0" borderId="0" xfId="0" applyFont="1" applyAlignment="1">
      <alignment horizontal="left"/>
    </xf>
    <xf numFmtId="165" fontId="9" fillId="0" borderId="17" xfId="0" applyNumberFormat="1" applyFont="1" applyBorder="1"/>
    <xf numFmtId="0" fontId="20" fillId="0" borderId="0" xfId="0" applyFont="1" applyAlignment="1">
      <alignment horizontal="left"/>
    </xf>
    <xf numFmtId="0" fontId="9" fillId="0" borderId="9" xfId="0" applyFont="1" applyBorder="1" applyAlignment="1">
      <alignment horizontal="center"/>
    </xf>
    <xf numFmtId="0" fontId="9" fillId="0" borderId="0" xfId="0" applyFont="1"/>
    <xf numFmtId="0" fontId="33" fillId="0" borderId="0" xfId="0" applyFont="1"/>
    <xf numFmtId="0" fontId="2" fillId="0" borderId="0" xfId="0" applyFont="1" applyAlignment="1">
      <alignment horizontal="center"/>
    </xf>
    <xf numFmtId="0" fontId="34" fillId="0" borderId="0" xfId="0" applyFont="1"/>
    <xf numFmtId="0" fontId="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15" fillId="0" borderId="0" xfId="0" applyFont="1"/>
    <xf numFmtId="164" fontId="15" fillId="0" borderId="0" xfId="0" applyNumberFormat="1" applyFont="1"/>
    <xf numFmtId="0" fontId="35" fillId="0" borderId="0" xfId="1" applyFont="1" applyAlignment="1">
      <alignment horizontal="right"/>
    </xf>
    <xf numFmtId="0" fontId="36" fillId="0" borderId="0" xfId="0" applyFont="1"/>
    <xf numFmtId="0" fontId="37" fillId="0" borderId="0" xfId="1" applyFont="1" applyAlignment="1">
      <alignment horizontal="right"/>
    </xf>
    <xf numFmtId="0" fontId="38" fillId="2" borderId="18" xfId="0" applyFont="1" applyFill="1" applyBorder="1" applyAlignment="1" applyProtection="1">
      <alignment horizontal="center"/>
      <protection locked="0"/>
    </xf>
    <xf numFmtId="166" fontId="39" fillId="0" borderId="0" xfId="0" applyNumberFormat="1" applyFont="1"/>
    <xf numFmtId="0" fontId="39" fillId="0" borderId="0" xfId="0" applyFont="1"/>
    <xf numFmtId="0" fontId="40" fillId="0" borderId="0" xfId="0" applyFont="1"/>
    <xf numFmtId="0" fontId="24" fillId="0" borderId="0" xfId="0" applyFont="1"/>
    <xf numFmtId="0" fontId="2" fillId="0" borderId="0" xfId="0" applyFont="1" applyAlignment="1">
      <alignment horizontal="right"/>
    </xf>
    <xf numFmtId="0" fontId="38" fillId="0" borderId="0" xfId="0" applyFont="1"/>
    <xf numFmtId="0" fontId="38" fillId="2" borderId="16" xfId="0" applyFont="1" applyFill="1" applyBorder="1" applyProtection="1">
      <protection locked="0"/>
    </xf>
    <xf numFmtId="0" fontId="0" fillId="2" borderId="19" xfId="0" applyFill="1" applyBorder="1"/>
    <xf numFmtId="0" fontId="0" fillId="2" borderId="17" xfId="0" applyFill="1" applyBorder="1"/>
    <xf numFmtId="0" fontId="41" fillId="0" borderId="0" xfId="1" applyFont="1"/>
    <xf numFmtId="0" fontId="42" fillId="0" borderId="20" xfId="1" applyFont="1" applyBorder="1"/>
    <xf numFmtId="0" fontId="0" fillId="0" borderId="20" xfId="0" applyBorder="1"/>
    <xf numFmtId="0" fontId="15" fillId="0" borderId="20" xfId="0" applyFont="1" applyBorder="1"/>
    <xf numFmtId="0" fontId="43" fillId="0" borderId="0" xfId="1" applyFont="1"/>
    <xf numFmtId="167" fontId="43" fillId="0" borderId="0" xfId="1" applyNumberFormat="1" applyFont="1" applyAlignment="1">
      <alignment horizontal="left"/>
    </xf>
    <xf numFmtId="0" fontId="44" fillId="0" borderId="0" xfId="0" applyFont="1" applyAlignment="1">
      <alignment horizontal="center"/>
    </xf>
    <xf numFmtId="0" fontId="45" fillId="0" borderId="0" xfId="1" applyFont="1" applyAlignment="1">
      <alignment horizontal="right"/>
    </xf>
    <xf numFmtId="0" fontId="0" fillId="0" borderId="0" xfId="0" applyAlignment="1">
      <alignment horizontal="center"/>
    </xf>
    <xf numFmtId="167" fontId="46" fillId="0" borderId="0" xfId="1" applyNumberFormat="1" applyFont="1" applyAlignment="1">
      <alignment horizontal="left"/>
    </xf>
    <xf numFmtId="0" fontId="47" fillId="0" borderId="0" xfId="1" applyFont="1" applyAlignment="1">
      <alignment horizontal="right"/>
    </xf>
    <xf numFmtId="0" fontId="46" fillId="0" borderId="0" xfId="1" applyFont="1"/>
    <xf numFmtId="0" fontId="48" fillId="0" borderId="0" xfId="0" applyFont="1" applyAlignment="1">
      <alignment horizontal="center"/>
    </xf>
    <xf numFmtId="167" fontId="49" fillId="0" borderId="0" xfId="1" applyNumberFormat="1" applyFont="1" applyAlignment="1">
      <alignment horizontal="left"/>
    </xf>
    <xf numFmtId="0" fontId="49" fillId="0" borderId="0" xfId="1" applyFont="1"/>
    <xf numFmtId="0" fontId="50" fillId="0" borderId="0" xfId="0" applyFont="1" applyAlignment="1">
      <alignment horizontal="center"/>
    </xf>
    <xf numFmtId="0" fontId="51" fillId="0" borderId="0" xfId="0" applyFont="1"/>
    <xf numFmtId="16" fontId="43" fillId="0" borderId="0" xfId="1" applyNumberFormat="1" applyFont="1" applyAlignment="1">
      <alignment horizontal="left"/>
    </xf>
    <xf numFmtId="16" fontId="46" fillId="0" borderId="0" xfId="1" applyNumberFormat="1" applyFont="1" applyAlignment="1">
      <alignment horizontal="left"/>
    </xf>
    <xf numFmtId="16" fontId="43" fillId="0" borderId="0" xfId="1" applyNumberFormat="1" applyFont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55" fillId="0" borderId="0" xfId="0" applyFont="1" applyAlignment="1">
      <alignment horizontal="left" indent="4"/>
    </xf>
    <xf numFmtId="0" fontId="58" fillId="0" borderId="0" xfId="0" applyFont="1"/>
    <xf numFmtId="0" fontId="59" fillId="0" borderId="0" xfId="0" applyFont="1"/>
    <xf numFmtId="0" fontId="60" fillId="0" borderId="0" xfId="0" applyFont="1"/>
    <xf numFmtId="0" fontId="6" fillId="0" borderId="20" xfId="0" applyFont="1" applyBorder="1"/>
    <xf numFmtId="0" fontId="61" fillId="0" borderId="0" xfId="0" applyFont="1"/>
    <xf numFmtId="0" fontId="6" fillId="4" borderId="9" xfId="0" applyFont="1" applyFill="1" applyBorder="1" applyAlignment="1" applyProtection="1">
      <alignment horizontal="center"/>
      <protection locked="0"/>
    </xf>
    <xf numFmtId="0" fontId="61" fillId="0" borderId="0" xfId="0" applyFont="1" applyAlignment="1">
      <alignment horizontal="left"/>
    </xf>
    <xf numFmtId="0" fontId="16" fillId="0" borderId="0" xfId="0" applyFont="1"/>
    <xf numFmtId="4" fontId="6" fillId="4" borderId="9" xfId="0" applyNumberFormat="1" applyFont="1" applyFill="1" applyBorder="1" applyAlignment="1" applyProtection="1">
      <alignment horizontal="center"/>
      <protection locked="0"/>
    </xf>
    <xf numFmtId="0" fontId="0" fillId="4" borderId="21" xfId="0" applyFill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left"/>
    </xf>
    <xf numFmtId="0" fontId="62" fillId="0" borderId="0" xfId="0" applyFont="1"/>
    <xf numFmtId="0" fontId="59" fillId="2" borderId="0" xfId="0" applyFont="1" applyFill="1"/>
    <xf numFmtId="0" fontId="60" fillId="2" borderId="0" xfId="0" applyFont="1" applyFill="1"/>
    <xf numFmtId="0" fontId="6" fillId="4" borderId="9" xfId="0" applyFont="1" applyFill="1" applyBorder="1" applyAlignment="1">
      <alignment horizontal="center"/>
    </xf>
    <xf numFmtId="4" fontId="6" fillId="4" borderId="9" xfId="0" applyNumberFormat="1" applyFont="1" applyFill="1" applyBorder="1" applyAlignment="1">
      <alignment horizontal="center"/>
    </xf>
    <xf numFmtId="0" fontId="63" fillId="0" borderId="0" xfId="0" applyFont="1"/>
    <xf numFmtId="0" fontId="9" fillId="0" borderId="0" xfId="0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center"/>
    </xf>
    <xf numFmtId="0" fontId="65" fillId="0" borderId="0" xfId="0" applyFont="1"/>
    <xf numFmtId="0" fontId="66" fillId="0" borderId="0" xfId="0" applyFont="1" applyAlignment="1">
      <alignment horizontal="center"/>
    </xf>
    <xf numFmtId="0" fontId="66" fillId="0" borderId="0" xfId="0" applyFont="1"/>
    <xf numFmtId="0" fontId="32" fillId="5" borderId="0" xfId="0" applyFont="1" applyFill="1"/>
    <xf numFmtId="168" fontId="6" fillId="5" borderId="0" xfId="0" applyNumberFormat="1" applyFont="1" applyFill="1" applyAlignment="1">
      <alignment horizontal="right"/>
    </xf>
    <xf numFmtId="168" fontId="31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6" fillId="5" borderId="0" xfId="0" applyFont="1" applyFill="1"/>
    <xf numFmtId="0" fontId="15" fillId="5" borderId="0" xfId="0" applyFont="1" applyFill="1"/>
    <xf numFmtId="0" fontId="9" fillId="5" borderId="0" xfId="0" applyFont="1" applyFill="1"/>
    <xf numFmtId="0" fontId="9" fillId="5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169" fontId="9" fillId="5" borderId="0" xfId="0" applyNumberFormat="1" applyFont="1" applyFill="1" applyAlignment="1">
      <alignment horizontal="left"/>
    </xf>
    <xf numFmtId="169" fontId="9" fillId="5" borderId="0" xfId="0" applyNumberFormat="1" applyFont="1" applyFill="1"/>
    <xf numFmtId="169" fontId="67" fillId="5" borderId="0" xfId="0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7" fillId="0" borderId="0" xfId="0" applyFont="1"/>
    <xf numFmtId="0" fontId="69" fillId="0" borderId="1" xfId="0" applyFont="1" applyBorder="1" applyAlignment="1">
      <alignment horizontal="center" shrinkToFit="1"/>
    </xf>
    <xf numFmtId="0" fontId="16" fillId="0" borderId="2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49" fontId="16" fillId="2" borderId="24" xfId="0" applyNumberFormat="1" applyFont="1" applyFill="1" applyBorder="1" applyAlignment="1">
      <alignment horizontal="center"/>
    </xf>
    <xf numFmtId="0" fontId="69" fillId="0" borderId="4" xfId="0" applyFont="1" applyBorder="1" applyAlignment="1">
      <alignment horizontal="center" shrinkToFit="1"/>
    </xf>
    <xf numFmtId="0" fontId="63" fillId="0" borderId="25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71" fillId="0" borderId="0" xfId="0" applyFont="1"/>
    <xf numFmtId="170" fontId="2" fillId="0" borderId="16" xfId="0" applyNumberFormat="1" applyFont="1" applyBorder="1" applyAlignment="1">
      <alignment horizontal="center"/>
    </xf>
    <xf numFmtId="171" fontId="2" fillId="0" borderId="16" xfId="0" applyNumberFormat="1" applyFont="1" applyBorder="1" applyAlignment="1">
      <alignment horizontal="left"/>
    </xf>
    <xf numFmtId="2" fontId="69" fillId="0" borderId="19" xfId="0" applyNumberFormat="1" applyFont="1" applyBorder="1" applyAlignment="1">
      <alignment horizontal="left"/>
    </xf>
    <xf numFmtId="172" fontId="52" fillId="0" borderId="26" xfId="0" applyNumberFormat="1" applyFont="1" applyBorder="1" applyProtection="1">
      <protection locked="0"/>
    </xf>
    <xf numFmtId="172" fontId="52" fillId="0" borderId="27" xfId="0" applyNumberFormat="1" applyFont="1" applyBorder="1" applyProtection="1">
      <protection locked="0"/>
    </xf>
    <xf numFmtId="165" fontId="72" fillId="0" borderId="28" xfId="0" applyNumberFormat="1" applyFont="1" applyBorder="1" applyProtection="1">
      <protection locked="0"/>
    </xf>
    <xf numFmtId="165" fontId="72" fillId="0" borderId="27" xfId="0" applyNumberFormat="1" applyFont="1" applyBorder="1" applyProtection="1">
      <protection locked="0"/>
    </xf>
    <xf numFmtId="165" fontId="72" fillId="0" borderId="29" xfId="0" applyNumberFormat="1" applyFont="1" applyBorder="1" applyProtection="1">
      <protection locked="0"/>
    </xf>
    <xf numFmtId="165" fontId="73" fillId="0" borderId="29" xfId="0" applyNumberFormat="1" applyFont="1" applyBorder="1" applyProtection="1">
      <protection locked="0"/>
    </xf>
    <xf numFmtId="165" fontId="52" fillId="0" borderId="29" xfId="0" applyNumberFormat="1" applyFont="1" applyBorder="1" applyAlignment="1" applyProtection="1">
      <alignment horizontal="right"/>
      <protection locked="0"/>
    </xf>
    <xf numFmtId="165" fontId="52" fillId="0" borderId="27" xfId="0" applyNumberFormat="1" applyFont="1" applyBorder="1" applyAlignment="1" applyProtection="1">
      <alignment horizontal="right"/>
      <protection locked="0"/>
    </xf>
    <xf numFmtId="165" fontId="9" fillId="0" borderId="30" xfId="0" applyNumberFormat="1" applyFont="1" applyBorder="1" applyAlignment="1">
      <alignment horizontal="right"/>
    </xf>
    <xf numFmtId="165" fontId="9" fillId="0" borderId="31" xfId="0" applyNumberFormat="1" applyFont="1" applyBorder="1" applyAlignment="1">
      <alignment horizontal="right"/>
    </xf>
    <xf numFmtId="173" fontId="16" fillId="0" borderId="32" xfId="0" applyNumberFormat="1" applyFont="1" applyBorder="1"/>
    <xf numFmtId="173" fontId="16" fillId="0" borderId="0" xfId="0" applyNumberFormat="1" applyFont="1"/>
    <xf numFmtId="165" fontId="9" fillId="0" borderId="33" xfId="0" applyNumberFormat="1" applyFont="1" applyBorder="1" applyAlignment="1">
      <alignment horizontal="right"/>
    </xf>
    <xf numFmtId="165" fontId="9" fillId="0" borderId="34" xfId="0" applyNumberFormat="1" applyFont="1" applyBorder="1" applyAlignment="1">
      <alignment horizontal="right"/>
    </xf>
    <xf numFmtId="14" fontId="0" fillId="0" borderId="0" xfId="0" applyNumberFormat="1"/>
    <xf numFmtId="0" fontId="0" fillId="5" borderId="0" xfId="0" applyFill="1"/>
    <xf numFmtId="0" fontId="16" fillId="0" borderId="16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6" fillId="0" borderId="19" xfId="0" applyFont="1" applyBorder="1" applyAlignment="1">
      <alignment horizontal="center"/>
    </xf>
    <xf numFmtId="172" fontId="74" fillId="0" borderId="35" xfId="0" applyNumberFormat="1" applyFont="1" applyBorder="1"/>
    <xf numFmtId="172" fontId="74" fillId="0" borderId="19" xfId="0" applyNumberFormat="1" applyFont="1" applyBorder="1"/>
    <xf numFmtId="165" fontId="9" fillId="0" borderId="36" xfId="0" applyNumberFormat="1" applyFont="1" applyBorder="1" applyAlignment="1">
      <alignment horizontal="right"/>
    </xf>
    <xf numFmtId="165" fontId="9" fillId="0" borderId="37" xfId="0" applyNumberFormat="1" applyFont="1" applyBorder="1" applyAlignment="1">
      <alignment horizontal="right"/>
    </xf>
    <xf numFmtId="173" fontId="75" fillId="0" borderId="38" xfId="0" applyNumberFormat="1" applyFont="1" applyBorder="1"/>
    <xf numFmtId="173" fontId="75" fillId="0" borderId="0" xfId="0" applyNumberFormat="1" applyFont="1"/>
    <xf numFmtId="0" fontId="76" fillId="0" borderId="39" xfId="0" applyFont="1" applyBorder="1"/>
    <xf numFmtId="0" fontId="24" fillId="0" borderId="39" xfId="0" applyFont="1" applyBorder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75" fontId="2" fillId="0" borderId="0" xfId="0" applyNumberFormat="1" applyFont="1"/>
    <xf numFmtId="176" fontId="2" fillId="0" borderId="0" xfId="0" applyNumberFormat="1" applyFont="1"/>
    <xf numFmtId="176" fontId="2" fillId="0" borderId="0" xfId="0" applyNumberFormat="1" applyFont="1" applyAlignment="1">
      <alignment horizontal="right"/>
    </xf>
    <xf numFmtId="0" fontId="16" fillId="5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176" fontId="16" fillId="0" borderId="0" xfId="0" applyNumberFormat="1" applyFont="1"/>
    <xf numFmtId="176" fontId="16" fillId="0" borderId="0" xfId="0" applyNumberFormat="1" applyFont="1" applyAlignment="1">
      <alignment horizontal="right"/>
    </xf>
    <xf numFmtId="176" fontId="52" fillId="0" borderId="0" xfId="0" applyNumberFormat="1" applyFont="1"/>
    <xf numFmtId="177" fontId="2" fillId="0" borderId="0" xfId="0" applyNumberFormat="1" applyFont="1"/>
    <xf numFmtId="169" fontId="77" fillId="0" borderId="0" xfId="0" applyNumberFormat="1" applyFont="1" applyAlignment="1">
      <alignment horizontal="center"/>
    </xf>
    <xf numFmtId="177" fontId="16" fillId="0" borderId="0" xfId="0" applyNumberFormat="1" applyFont="1"/>
    <xf numFmtId="0" fontId="69" fillId="0" borderId="0" xfId="0" applyFont="1"/>
    <xf numFmtId="172" fontId="52" fillId="0" borderId="26" xfId="0" applyNumberFormat="1" applyFont="1" applyBorder="1"/>
    <xf numFmtId="172" fontId="52" fillId="0" borderId="27" xfId="0" applyNumberFormat="1" applyFont="1" applyBorder="1"/>
    <xf numFmtId="165" fontId="72" fillId="0" borderId="28" xfId="0" applyNumberFormat="1" applyFont="1" applyBorder="1"/>
    <xf numFmtId="165" fontId="72" fillId="0" borderId="27" xfId="0" applyNumberFormat="1" applyFont="1" applyBorder="1"/>
    <xf numFmtId="165" fontId="72" fillId="0" borderId="40" xfId="0" applyNumberFormat="1" applyFont="1" applyBorder="1"/>
    <xf numFmtId="165" fontId="72" fillId="0" borderId="41" xfId="0" applyNumberFormat="1" applyFont="1" applyBorder="1"/>
    <xf numFmtId="165" fontId="73" fillId="0" borderId="41" xfId="0" applyNumberFormat="1" applyFont="1" applyBorder="1"/>
    <xf numFmtId="165" fontId="52" fillId="0" borderId="41" xfId="0" applyNumberFormat="1" applyFont="1" applyBorder="1" applyAlignment="1">
      <alignment horizontal="right"/>
    </xf>
    <xf numFmtId="165" fontId="52" fillId="0" borderId="42" xfId="0" applyNumberFormat="1" applyFont="1" applyBorder="1" applyAlignment="1">
      <alignment horizontal="right"/>
    </xf>
    <xf numFmtId="0" fontId="76" fillId="0" borderId="0" xfId="0" applyFont="1" applyAlignment="1">
      <alignment horizontal="left"/>
    </xf>
    <xf numFmtId="0" fontId="76" fillId="0" borderId="0" xfId="0" applyFont="1" applyAlignment="1">
      <alignment horizontal="center"/>
    </xf>
    <xf numFmtId="0" fontId="17" fillId="0" borderId="0" xfId="0" applyFont="1"/>
    <xf numFmtId="0" fontId="63" fillId="0" borderId="0" xfId="0" applyFont="1" applyAlignment="1">
      <alignment horizontal="left"/>
    </xf>
    <xf numFmtId="0" fontId="16" fillId="0" borderId="43" xfId="0" applyFont="1" applyBorder="1"/>
    <xf numFmtId="0" fontId="16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16" fillId="0" borderId="47" xfId="0" applyFont="1" applyBorder="1"/>
    <xf numFmtId="0" fontId="16" fillId="0" borderId="48" xfId="0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6" fillId="2" borderId="47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69" fillId="0" borderId="53" xfId="0" applyFont="1" applyBorder="1" applyAlignment="1">
      <alignment horizontal="center"/>
    </xf>
    <xf numFmtId="14" fontId="2" fillId="0" borderId="54" xfId="0" applyNumberFormat="1" applyFont="1" applyBorder="1" applyAlignment="1" applyProtection="1">
      <alignment horizontal="left"/>
      <protection locked="0"/>
    </xf>
    <xf numFmtId="49" fontId="2" fillId="0" borderId="55" xfId="0" applyNumberFormat="1" applyFont="1" applyBorder="1" applyAlignment="1" applyProtection="1">
      <alignment horizontal="right"/>
      <protection locked="0"/>
    </xf>
    <xf numFmtId="49" fontId="2" fillId="0" borderId="56" xfId="0" applyNumberFormat="1" applyFont="1" applyBorder="1" applyAlignment="1" applyProtection="1">
      <alignment horizontal="right"/>
      <protection locked="0"/>
    </xf>
    <xf numFmtId="0" fontId="2" fillId="0" borderId="57" xfId="0" applyFont="1" applyBorder="1" applyAlignment="1" applyProtection="1">
      <alignment horizontal="left"/>
      <protection locked="0"/>
    </xf>
    <xf numFmtId="174" fontId="2" fillId="0" borderId="58" xfId="0" applyNumberFormat="1" applyFont="1" applyBorder="1" applyAlignment="1" applyProtection="1">
      <alignment horizontal="right"/>
      <protection locked="0"/>
    </xf>
    <xf numFmtId="174" fontId="2" fillId="0" borderId="59" xfId="0" applyNumberFormat="1" applyFont="1" applyBorder="1" applyAlignment="1" applyProtection="1">
      <alignment horizontal="center"/>
      <protection locked="0"/>
    </xf>
    <xf numFmtId="178" fontId="2" fillId="2" borderId="54" xfId="0" applyNumberFormat="1" applyFont="1" applyFill="1" applyBorder="1" applyProtection="1">
      <protection locked="0"/>
    </xf>
    <xf numFmtId="178" fontId="2" fillId="0" borderId="59" xfId="0" applyNumberFormat="1" applyFont="1" applyBorder="1" applyProtection="1">
      <protection locked="0"/>
    </xf>
    <xf numFmtId="179" fontId="2" fillId="0" borderId="59" xfId="0" applyNumberFormat="1" applyFont="1" applyBorder="1" applyProtection="1">
      <protection locked="0"/>
    </xf>
    <xf numFmtId="14" fontId="2" fillId="0" borderId="60" xfId="0" applyNumberFormat="1" applyFont="1" applyBorder="1" applyAlignment="1" applyProtection="1">
      <alignment horizontal="left"/>
      <protection locked="0"/>
    </xf>
    <xf numFmtId="49" fontId="2" fillId="0" borderId="16" xfId="0" applyNumberFormat="1" applyFont="1" applyBorder="1" applyAlignment="1" applyProtection="1">
      <alignment horizontal="right"/>
      <protection locked="0"/>
    </xf>
    <xf numFmtId="49" fontId="2" fillId="0" borderId="61" xfId="0" applyNumberFormat="1" applyFont="1" applyBorder="1" applyAlignment="1" applyProtection="1">
      <alignment horizontal="right"/>
      <protection locked="0"/>
    </xf>
    <xf numFmtId="0" fontId="2" fillId="0" borderId="17" xfId="0" applyFont="1" applyBorder="1" applyAlignment="1" applyProtection="1">
      <alignment horizontal="left"/>
      <protection locked="0"/>
    </xf>
    <xf numFmtId="174" fontId="2" fillId="0" borderId="27" xfId="0" applyNumberFormat="1" applyFont="1" applyBorder="1" applyAlignment="1" applyProtection="1">
      <alignment horizontal="right"/>
      <protection locked="0"/>
    </xf>
    <xf numFmtId="174" fontId="2" fillId="0" borderId="62" xfId="0" applyNumberFormat="1" applyFont="1" applyBorder="1" applyAlignment="1" applyProtection="1">
      <alignment horizontal="center"/>
      <protection locked="0"/>
    </xf>
    <xf numFmtId="178" fontId="2" fillId="2" borderId="60" xfId="0" applyNumberFormat="1" applyFont="1" applyFill="1" applyBorder="1" applyProtection="1">
      <protection locked="0"/>
    </xf>
    <xf numFmtId="178" fontId="2" fillId="0" borderId="62" xfId="0" applyNumberFormat="1" applyFont="1" applyBorder="1" applyProtection="1">
      <protection locked="0"/>
    </xf>
    <xf numFmtId="179" fontId="2" fillId="0" borderId="62" xfId="0" applyNumberFormat="1" applyFont="1" applyBorder="1" applyProtection="1">
      <protection locked="0"/>
    </xf>
    <xf numFmtId="14" fontId="2" fillId="0" borderId="63" xfId="0" applyNumberFormat="1" applyFont="1" applyBorder="1" applyAlignment="1" applyProtection="1">
      <alignment horizontal="left"/>
      <protection locked="0"/>
    </xf>
    <xf numFmtId="49" fontId="2" fillId="0" borderId="64" xfId="0" applyNumberFormat="1" applyFont="1" applyBorder="1" applyAlignment="1" applyProtection="1">
      <alignment horizontal="right"/>
      <protection locked="0"/>
    </xf>
    <xf numFmtId="49" fontId="2" fillId="0" borderId="65" xfId="0" applyNumberFormat="1" applyFont="1" applyBorder="1" applyAlignment="1" applyProtection="1">
      <alignment horizontal="right"/>
      <protection locked="0"/>
    </xf>
    <xf numFmtId="0" fontId="2" fillId="0" borderId="12" xfId="0" applyFont="1" applyBorder="1" applyAlignment="1" applyProtection="1">
      <alignment horizontal="left"/>
      <protection locked="0"/>
    </xf>
    <xf numFmtId="174" fontId="2" fillId="0" borderId="66" xfId="0" applyNumberFormat="1" applyFont="1" applyBorder="1" applyAlignment="1" applyProtection="1">
      <alignment horizontal="right"/>
      <protection locked="0"/>
    </xf>
    <xf numFmtId="174" fontId="2" fillId="0" borderId="67" xfId="0" applyNumberFormat="1" applyFont="1" applyBorder="1" applyAlignment="1" applyProtection="1">
      <alignment horizontal="center"/>
      <protection locked="0"/>
    </xf>
    <xf numFmtId="178" fontId="2" fillId="2" borderId="63" xfId="0" applyNumberFormat="1" applyFont="1" applyFill="1" applyBorder="1" applyProtection="1">
      <protection locked="0"/>
    </xf>
    <xf numFmtId="178" fontId="2" fillId="0" borderId="67" xfId="0" applyNumberFormat="1" applyFont="1" applyBorder="1" applyProtection="1">
      <protection locked="0"/>
    </xf>
    <xf numFmtId="179" fontId="2" fillId="0" borderId="67" xfId="0" applyNumberFormat="1" applyFont="1" applyBorder="1" applyProtection="1">
      <protection locked="0"/>
    </xf>
    <xf numFmtId="14" fontId="2" fillId="0" borderId="68" xfId="0" applyNumberFormat="1" applyFont="1" applyBorder="1" applyAlignment="1" applyProtection="1">
      <alignment horizontal="left"/>
      <protection locked="0"/>
    </xf>
    <xf numFmtId="49" fontId="2" fillId="0" borderId="69" xfId="0" applyNumberFormat="1" applyFont="1" applyBorder="1" applyAlignment="1" applyProtection="1">
      <alignment horizontal="right"/>
      <protection locked="0"/>
    </xf>
    <xf numFmtId="49" fontId="2" fillId="0" borderId="70" xfId="0" applyNumberFormat="1" applyFont="1" applyBorder="1" applyAlignment="1" applyProtection="1">
      <alignment horizontal="right"/>
      <protection locked="0"/>
    </xf>
    <xf numFmtId="0" fontId="2" fillId="0" borderId="71" xfId="0" applyFont="1" applyBorder="1" applyAlignment="1" applyProtection="1">
      <alignment horizontal="left"/>
      <protection locked="0"/>
    </xf>
    <xf numFmtId="174" fontId="2" fillId="0" borderId="72" xfId="0" applyNumberFormat="1" applyFont="1" applyBorder="1" applyAlignment="1" applyProtection="1">
      <alignment horizontal="right"/>
      <protection locked="0"/>
    </xf>
    <xf numFmtId="174" fontId="2" fillId="0" borderId="73" xfId="0" applyNumberFormat="1" applyFont="1" applyBorder="1" applyAlignment="1" applyProtection="1">
      <alignment horizontal="center"/>
      <protection locked="0"/>
    </xf>
    <xf numFmtId="178" fontId="2" fillId="2" borderId="68" xfId="0" applyNumberFormat="1" applyFont="1" applyFill="1" applyBorder="1" applyProtection="1">
      <protection locked="0"/>
    </xf>
    <xf numFmtId="178" fontId="2" fillId="0" borderId="73" xfId="0" applyNumberFormat="1" applyFont="1" applyBorder="1" applyProtection="1">
      <protection locked="0"/>
    </xf>
    <xf numFmtId="179" fontId="2" fillId="0" borderId="73" xfId="0" applyNumberFormat="1" applyFont="1" applyBorder="1" applyProtection="1">
      <protection locked="0"/>
    </xf>
    <xf numFmtId="164" fontId="9" fillId="0" borderId="0" xfId="0" applyNumberFormat="1" applyFont="1"/>
    <xf numFmtId="178" fontId="16" fillId="2" borderId="74" xfId="0" applyNumberFormat="1" applyFont="1" applyFill="1" applyBorder="1"/>
    <xf numFmtId="178" fontId="16" fillId="0" borderId="75" xfId="0" applyNumberFormat="1" applyFont="1" applyBorder="1"/>
    <xf numFmtId="179" fontId="16" fillId="0" borderId="75" xfId="0" applyNumberFormat="1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16" fillId="0" borderId="7" xfId="0" applyFont="1" applyBorder="1" applyAlignment="1">
      <alignment horizontal="center"/>
    </xf>
    <xf numFmtId="0" fontId="16" fillId="0" borderId="7" xfId="0" applyFont="1" applyBorder="1" applyAlignment="1">
      <alignment horizontal="right"/>
    </xf>
    <xf numFmtId="0" fontId="16" fillId="0" borderId="7" xfId="0" applyFont="1" applyBorder="1"/>
    <xf numFmtId="0" fontId="63" fillId="0" borderId="7" xfId="0" applyFont="1" applyBorder="1" applyAlignment="1">
      <alignment horizontal="center"/>
    </xf>
    <xf numFmtId="0" fontId="16" fillId="0" borderId="76" xfId="0" applyFont="1" applyBorder="1"/>
    <xf numFmtId="4" fontId="2" fillId="0" borderId="76" xfId="0" applyNumberFormat="1" applyFont="1" applyBorder="1"/>
    <xf numFmtId="4" fontId="2" fillId="0" borderId="76" xfId="0" applyNumberFormat="1" applyFont="1" applyBorder="1" applyAlignment="1">
      <alignment horizontal="center"/>
    </xf>
    <xf numFmtId="180" fontId="77" fillId="0" borderId="76" xfId="0" applyNumberFormat="1" applyFont="1" applyBorder="1"/>
    <xf numFmtId="14" fontId="2" fillId="0" borderId="0" xfId="0" applyNumberFormat="1" applyFont="1" applyAlignment="1">
      <alignment horizontal="left"/>
    </xf>
    <xf numFmtId="0" fontId="2" fillId="0" borderId="77" xfId="0" applyFont="1" applyBorder="1"/>
    <xf numFmtId="0" fontId="2" fillId="0" borderId="77" xfId="0" applyFont="1" applyBorder="1" applyAlignment="1">
      <alignment horizontal="center"/>
    </xf>
    <xf numFmtId="180" fontId="2" fillId="0" borderId="19" xfId="0" applyNumberFormat="1" applyFont="1" applyBorder="1"/>
    <xf numFmtId="14" fontId="2" fillId="0" borderId="0" xfId="0" applyNumberFormat="1" applyFont="1" applyAlignment="1">
      <alignment horizontal="center"/>
    </xf>
    <xf numFmtId="180" fontId="77" fillId="0" borderId="19" xfId="0" applyNumberFormat="1" applyFont="1" applyBorder="1"/>
    <xf numFmtId="0" fontId="16" fillId="0" borderId="2" xfId="0" applyFont="1" applyBorder="1"/>
    <xf numFmtId="0" fontId="63" fillId="0" borderId="78" xfId="0" applyFont="1" applyBorder="1"/>
    <xf numFmtId="0" fontId="0" fillId="0" borderId="77" xfId="0" applyBorder="1"/>
    <xf numFmtId="0" fontId="79" fillId="0" borderId="0" xfId="0" applyFont="1"/>
    <xf numFmtId="14" fontId="2" fillId="0" borderId="54" xfId="0" applyNumberFormat="1" applyFont="1" applyBorder="1" applyAlignment="1">
      <alignment horizontal="left"/>
    </xf>
    <xf numFmtId="164" fontId="2" fillId="0" borderId="55" xfId="0" applyNumberFormat="1" applyFont="1" applyBorder="1"/>
    <xf numFmtId="164" fontId="2" fillId="0" borderId="56" xfId="0" applyNumberFormat="1" applyFont="1" applyBorder="1"/>
    <xf numFmtId="0" fontId="2" fillId="0" borderId="57" xfId="0" applyFont="1" applyBorder="1" applyAlignment="1">
      <alignment horizontal="left"/>
    </xf>
    <xf numFmtId="174" fontId="2" fillId="0" borderId="58" xfId="0" applyNumberFormat="1" applyFont="1" applyBorder="1" applyAlignment="1">
      <alignment horizontal="right"/>
    </xf>
    <xf numFmtId="174" fontId="2" fillId="0" borderId="59" xfId="0" applyNumberFormat="1" applyFont="1" applyBorder="1" applyAlignment="1">
      <alignment horizontal="center"/>
    </xf>
    <xf numFmtId="178" fontId="2" fillId="2" borderId="54" xfId="0" applyNumberFormat="1" applyFont="1" applyFill="1" applyBorder="1"/>
    <xf numFmtId="178" fontId="2" fillId="0" borderId="59" xfId="0" applyNumberFormat="1" applyFont="1" applyBorder="1"/>
    <xf numFmtId="179" fontId="2" fillId="0" borderId="59" xfId="0" applyNumberFormat="1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80" fillId="0" borderId="0" xfId="0" applyFont="1"/>
    <xf numFmtId="168" fontId="81" fillId="0" borderId="0" xfId="0" applyNumberFormat="1" applyFont="1"/>
    <xf numFmtId="168" fontId="32" fillId="0" borderId="0" xfId="0" applyNumberFormat="1" applyFont="1"/>
    <xf numFmtId="0" fontId="0" fillId="0" borderId="79" xfId="0" applyBorder="1" applyAlignment="1">
      <alignment horizontal="left"/>
    </xf>
    <xf numFmtId="0" fontId="9" fillId="0" borderId="79" xfId="0" applyFont="1" applyBorder="1" applyAlignment="1">
      <alignment horizontal="center"/>
    </xf>
    <xf numFmtId="0" fontId="82" fillId="0" borderId="79" xfId="0" applyFont="1" applyBorder="1"/>
    <xf numFmtId="0" fontId="83" fillId="0" borderId="79" xfId="0" applyFont="1" applyBorder="1"/>
    <xf numFmtId="0" fontId="0" fillId="0" borderId="79" xfId="0" applyBorder="1"/>
    <xf numFmtId="168" fontId="0" fillId="0" borderId="79" xfId="0" applyNumberFormat="1" applyBorder="1"/>
    <xf numFmtId="0" fontId="6" fillId="0" borderId="79" xfId="0" applyFont="1" applyBorder="1"/>
    <xf numFmtId="168" fontId="81" fillId="0" borderId="79" xfId="0" applyNumberFormat="1" applyFont="1" applyBorder="1" applyAlignment="1">
      <alignment horizontal="right"/>
    </xf>
    <xf numFmtId="0" fontId="59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183" fontId="2" fillId="0" borderId="0" xfId="0" applyNumberFormat="1" applyFont="1" applyAlignment="1">
      <alignment horizontal="right"/>
    </xf>
    <xf numFmtId="4" fontId="0" fillId="0" borderId="0" xfId="0" applyNumberFormat="1"/>
    <xf numFmtId="0" fontId="52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186" fontId="2" fillId="0" borderId="0" xfId="0" applyNumberFormat="1" applyFont="1"/>
    <xf numFmtId="183" fontId="52" fillId="0" borderId="0" xfId="0" applyNumberFormat="1" applyFont="1"/>
    <xf numFmtId="187" fontId="2" fillId="0" borderId="0" xfId="0" applyNumberFormat="1" applyFont="1"/>
    <xf numFmtId="188" fontId="9" fillId="0" borderId="4" xfId="0" applyNumberFormat="1" applyFont="1" applyBorder="1" applyAlignment="1">
      <alignment horizontal="left"/>
    </xf>
    <xf numFmtId="2" fontId="69" fillId="0" borderId="80" xfId="0" applyNumberFormat="1" applyFont="1" applyBorder="1" applyAlignment="1">
      <alignment horizontal="center"/>
    </xf>
    <xf numFmtId="188" fontId="9" fillId="0" borderId="81" xfId="0" applyNumberFormat="1" applyFont="1" applyBorder="1" applyAlignment="1">
      <alignment horizontal="left"/>
    </xf>
    <xf numFmtId="188" fontId="9" fillId="0" borderId="1" xfId="0" applyNumberFormat="1" applyFont="1" applyBorder="1" applyAlignment="1">
      <alignment horizontal="left"/>
    </xf>
    <xf numFmtId="2" fontId="69" fillId="0" borderId="82" xfId="0" applyNumberFormat="1" applyFont="1" applyBorder="1" applyAlignment="1">
      <alignment horizontal="center"/>
    </xf>
    <xf numFmtId="188" fontId="9" fillId="0" borderId="83" xfId="0" applyNumberFormat="1" applyFont="1" applyBorder="1" applyAlignment="1">
      <alignment horizontal="left"/>
    </xf>
    <xf numFmtId="2" fontId="69" fillId="0" borderId="84" xfId="0" applyNumberFormat="1" applyFont="1" applyBorder="1" applyAlignment="1">
      <alignment horizontal="center"/>
    </xf>
    <xf numFmtId="0" fontId="9" fillId="0" borderId="4" xfId="0" applyFont="1" applyBorder="1"/>
    <xf numFmtId="188" fontId="9" fillId="0" borderId="6" xfId="0" applyNumberFormat="1" applyFont="1" applyBorder="1" applyAlignment="1">
      <alignment horizontal="left"/>
    </xf>
    <xf numFmtId="2" fontId="69" fillId="0" borderId="85" xfId="0" applyNumberFormat="1" applyFont="1" applyBorder="1" applyAlignment="1">
      <alignment horizontal="center"/>
    </xf>
    <xf numFmtId="0" fontId="9" fillId="0" borderId="6" xfId="0" applyFont="1" applyBorder="1"/>
    <xf numFmtId="2" fontId="69" fillId="0" borderId="86" xfId="0" applyNumberFormat="1" applyFont="1" applyBorder="1" applyAlignment="1">
      <alignment horizontal="center"/>
    </xf>
    <xf numFmtId="0" fontId="84" fillId="0" borderId="0" xfId="0" applyFont="1"/>
    <xf numFmtId="0" fontId="16" fillId="5" borderId="0" xfId="0" applyFont="1" applyFill="1" applyAlignment="1">
      <alignment horizontal="right"/>
    </xf>
    <xf numFmtId="0" fontId="53" fillId="0" borderId="0" xfId="0" applyFont="1" applyAlignment="1">
      <alignment horizontal="left"/>
    </xf>
    <xf numFmtId="0" fontId="85" fillId="0" borderId="0" xfId="0" applyFont="1"/>
    <xf numFmtId="0" fontId="86" fillId="0" borderId="0" xfId="0" applyFont="1"/>
    <xf numFmtId="0" fontId="87" fillId="0" borderId="0" xfId="0" applyFont="1"/>
    <xf numFmtId="0" fontId="88" fillId="0" borderId="0" xfId="0" applyFont="1"/>
    <xf numFmtId="0" fontId="89" fillId="0" borderId="0" xfId="0" applyFont="1"/>
    <xf numFmtId="164" fontId="90" fillId="0" borderId="0" xfId="0" applyNumberFormat="1" applyFont="1"/>
    <xf numFmtId="0" fontId="91" fillId="0" borderId="0" xfId="0" applyFont="1"/>
    <xf numFmtId="191" fontId="15" fillId="6" borderId="87" xfId="0" applyNumberFormat="1" applyFont="1" applyFill="1" applyBorder="1" applyAlignment="1">
      <alignment horizontal="right"/>
    </xf>
    <xf numFmtId="0" fontId="59" fillId="0" borderId="88" xfId="0" applyFont="1" applyBorder="1" applyAlignment="1">
      <alignment horizontal="center"/>
    </xf>
    <xf numFmtId="0" fontId="59" fillId="0" borderId="89" xfId="0" applyFont="1" applyBorder="1" applyAlignment="1">
      <alignment horizontal="center"/>
    </xf>
    <xf numFmtId="0" fontId="32" fillId="0" borderId="20" xfId="0" applyFont="1" applyBorder="1"/>
    <xf numFmtId="191" fontId="14" fillId="7" borderId="92" xfId="0" applyNumberFormat="1" applyFont="1" applyFill="1" applyBorder="1" applyAlignment="1" applyProtection="1">
      <alignment horizontal="right"/>
      <protection locked="0"/>
    </xf>
    <xf numFmtId="0" fontId="14" fillId="2" borderId="9" xfId="0" applyFont="1" applyFill="1" applyBorder="1" applyAlignment="1" applyProtection="1">
      <alignment horizontal="center"/>
      <protection locked="0"/>
    </xf>
    <xf numFmtId="49" fontId="2" fillId="0" borderId="0" xfId="0" applyNumberFormat="1" applyFont="1"/>
    <xf numFmtId="49" fontId="16" fillId="0" borderId="0" xfId="0" applyNumberFormat="1" applyFont="1"/>
    <xf numFmtId="0" fontId="92" fillId="0" borderId="0" xfId="0" applyFont="1"/>
    <xf numFmtId="49" fontId="9" fillId="0" borderId="0" xfId="0" applyNumberFormat="1" applyFont="1"/>
    <xf numFmtId="0" fontId="58" fillId="0" borderId="0" xfId="0" applyFont="1" applyAlignment="1">
      <alignment horizontal="justify"/>
    </xf>
    <xf numFmtId="0" fontId="55" fillId="0" borderId="0" xfId="0" applyFont="1" applyAlignment="1">
      <alignment horizontal="justify"/>
    </xf>
    <xf numFmtId="0" fontId="54" fillId="0" borderId="0" xfId="0" applyFont="1" applyAlignment="1">
      <alignment horizontal="justify"/>
    </xf>
    <xf numFmtId="0" fontId="93" fillId="0" borderId="0" xfId="0" applyFont="1"/>
    <xf numFmtId="192" fontId="96" fillId="0" borderId="0" xfId="1" applyNumberFormat="1" applyFont="1" applyAlignment="1">
      <alignment horizontal="left"/>
    </xf>
    <xf numFmtId="0" fontId="97" fillId="0" borderId="0" xfId="1" applyFont="1" applyAlignment="1">
      <alignment horizontal="right"/>
    </xf>
    <xf numFmtId="0" fontId="96" fillId="0" borderId="0" xfId="1" applyFont="1"/>
    <xf numFmtId="1" fontId="98" fillId="0" borderId="0" xfId="0" applyNumberFormat="1" applyFont="1"/>
    <xf numFmtId="0" fontId="95" fillId="0" borderId="0" xfId="0" applyFont="1"/>
    <xf numFmtId="0" fontId="99" fillId="0" borderId="0" xfId="0" applyFont="1"/>
    <xf numFmtId="0" fontId="100" fillId="0" borderId="0" xfId="1" applyFont="1"/>
    <xf numFmtId="0" fontId="98" fillId="0" borderId="0" xfId="0" applyFont="1"/>
    <xf numFmtId="192" fontId="101" fillId="0" borderId="0" xfId="1" applyNumberFormat="1" applyFont="1" applyAlignment="1">
      <alignment horizontal="left"/>
    </xf>
    <xf numFmtId="0" fontId="102" fillId="0" borderId="0" xfId="1" applyFont="1" applyAlignment="1">
      <alignment horizontal="right"/>
    </xf>
    <xf numFmtId="0" fontId="101" fillId="0" borderId="0" xfId="1" applyFont="1"/>
    <xf numFmtId="0" fontId="103" fillId="0" borderId="0" xfId="0" applyFont="1"/>
    <xf numFmtId="0" fontId="104" fillId="0" borderId="0" xfId="0" applyFont="1"/>
    <xf numFmtId="16" fontId="96" fillId="0" borderId="0" xfId="1" applyNumberFormat="1" applyFont="1" applyAlignment="1">
      <alignment horizontal="left"/>
    </xf>
    <xf numFmtId="16" fontId="96" fillId="0" borderId="0" xfId="1" applyNumberFormat="1" applyFont="1"/>
    <xf numFmtId="0" fontId="105" fillId="0" borderId="0" xfId="0" applyFont="1"/>
    <xf numFmtId="174" fontId="9" fillId="0" borderId="20" xfId="0" applyNumberFormat="1" applyFont="1" applyBorder="1" applyAlignment="1" applyProtection="1">
      <alignment horizontal="left"/>
      <protection locked="0"/>
    </xf>
    <xf numFmtId="189" fontId="2" fillId="0" borderId="105" xfId="0" applyNumberFormat="1" applyFont="1" applyBorder="1" applyProtection="1">
      <protection locked="0"/>
    </xf>
    <xf numFmtId="174" fontId="9" fillId="0" borderId="90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169" fontId="2" fillId="0" borderId="109" xfId="0" applyNumberFormat="1" applyFont="1" applyBorder="1" applyAlignment="1">
      <alignment horizontal="left"/>
    </xf>
    <xf numFmtId="0" fontId="31" fillId="0" borderId="109" xfId="0" applyFont="1" applyBorder="1" applyAlignment="1">
      <alignment horizontal="right"/>
    </xf>
    <xf numFmtId="49" fontId="2" fillId="0" borderId="110" xfId="0" applyNumberFormat="1" applyFont="1" applyBorder="1" applyAlignment="1">
      <alignment horizontal="center"/>
    </xf>
    <xf numFmtId="0" fontId="9" fillId="0" borderId="110" xfId="0" applyFont="1" applyBorder="1" applyAlignment="1">
      <alignment horizontal="right"/>
    </xf>
    <xf numFmtId="0" fontId="78" fillId="0" borderId="110" xfId="0" applyFont="1" applyBorder="1" applyAlignment="1">
      <alignment horizontal="center"/>
    </xf>
    <xf numFmtId="0" fontId="0" fillId="0" borderId="110" xfId="0" applyBorder="1"/>
    <xf numFmtId="0" fontId="9" fillId="0" borderId="11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4" fillId="2" borderId="9" xfId="0" applyFont="1" applyFill="1" applyBorder="1" applyAlignment="1" applyProtection="1">
      <alignment horizontal="left"/>
      <protection locked="0"/>
    </xf>
    <xf numFmtId="14" fontId="6" fillId="4" borderId="9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left"/>
    </xf>
    <xf numFmtId="14" fontId="6" fillId="4" borderId="9" xfId="0" applyNumberFormat="1" applyFont="1" applyFill="1" applyBorder="1" applyAlignment="1">
      <alignment horizontal="center"/>
    </xf>
    <xf numFmtId="0" fontId="2" fillId="0" borderId="93" xfId="0" applyFont="1" applyBorder="1" applyAlignment="1">
      <alignment horizontal="center"/>
    </xf>
    <xf numFmtId="14" fontId="2" fillId="0" borderId="93" xfId="0" applyNumberFormat="1" applyFont="1" applyBorder="1" applyAlignment="1">
      <alignment horizontal="left"/>
    </xf>
    <xf numFmtId="176" fontId="2" fillId="0" borderId="2" xfId="0" applyNumberFormat="1" applyFont="1" applyBorder="1" applyAlignment="1">
      <alignment horizontal="right"/>
    </xf>
    <xf numFmtId="168" fontId="15" fillId="5" borderId="0" xfId="0" applyNumberFormat="1" applyFont="1" applyFill="1" applyAlignment="1">
      <alignment horizontal="left"/>
    </xf>
    <xf numFmtId="169" fontId="67" fillId="0" borderId="0" xfId="0" applyNumberFormat="1" applyFont="1" applyAlignment="1">
      <alignment horizontal="right"/>
    </xf>
    <xf numFmtId="176" fontId="94" fillId="0" borderId="0" xfId="0" applyNumberFormat="1" applyFont="1" applyAlignment="1" applyProtection="1">
      <alignment horizontal="right"/>
      <protection locked="0"/>
    </xf>
    <xf numFmtId="0" fontId="68" fillId="0" borderId="95" xfId="0" applyFont="1" applyBorder="1" applyAlignment="1">
      <alignment horizontal="center"/>
    </xf>
    <xf numFmtId="0" fontId="16" fillId="2" borderId="96" xfId="0" applyFont="1" applyFill="1" applyBorder="1" applyAlignment="1">
      <alignment horizontal="center"/>
    </xf>
    <xf numFmtId="0" fontId="9" fillId="0" borderId="96" xfId="0" applyFont="1" applyBorder="1" applyAlignment="1">
      <alignment horizontal="center" textRotation="90" shrinkToFit="1"/>
    </xf>
    <xf numFmtId="0" fontId="9" fillId="0" borderId="97" xfId="0" applyFont="1" applyBorder="1" applyAlignment="1">
      <alignment horizontal="center" textRotation="90" shrinkToFit="1"/>
    </xf>
    <xf numFmtId="0" fontId="70" fillId="0" borderId="101" xfId="0" applyFont="1" applyBorder="1" applyAlignment="1">
      <alignment horizontal="left" readingOrder="1"/>
    </xf>
    <xf numFmtId="0" fontId="70" fillId="0" borderId="76" xfId="0" applyFont="1" applyBorder="1" applyAlignment="1">
      <alignment horizontal="left" readingOrder="1"/>
    </xf>
    <xf numFmtId="0" fontId="68" fillId="0" borderId="94" xfId="0" applyFont="1" applyBorder="1" applyAlignment="1">
      <alignment horizontal="center"/>
    </xf>
    <xf numFmtId="0" fontId="69" fillId="0" borderId="82" xfId="0" applyFont="1" applyBorder="1" applyAlignment="1">
      <alignment horizontal="center" textRotation="90" shrinkToFit="1"/>
    </xf>
    <xf numFmtId="0" fontId="70" fillId="0" borderId="103" xfId="0" applyFont="1" applyBorder="1" applyAlignment="1">
      <alignment horizontal="center"/>
    </xf>
    <xf numFmtId="0" fontId="70" fillId="0" borderId="104" xfId="0" applyFont="1" applyBorder="1" applyAlignment="1">
      <alignment horizontal="center"/>
    </xf>
    <xf numFmtId="14" fontId="9" fillId="0" borderId="0" xfId="0" applyNumberFormat="1" applyFont="1" applyAlignment="1">
      <alignment horizontal="right"/>
    </xf>
    <xf numFmtId="174" fontId="9" fillId="0" borderId="90" xfId="0" applyNumberFormat="1" applyFont="1" applyBorder="1" applyAlignment="1">
      <alignment horizontal="left"/>
    </xf>
    <xf numFmtId="174" fontId="9" fillId="0" borderId="20" xfId="0" applyNumberFormat="1" applyFont="1" applyBorder="1" applyAlignment="1">
      <alignment horizontal="left"/>
    </xf>
    <xf numFmtId="174" fontId="9" fillId="0" borderId="105" xfId="0" applyNumberFormat="1" applyFont="1" applyBorder="1" applyAlignment="1">
      <alignment horizontal="left"/>
    </xf>
    <xf numFmtId="174" fontId="9" fillId="0" borderId="91" xfId="0" applyNumberFormat="1" applyFont="1" applyBorder="1" applyAlignment="1">
      <alignment horizontal="left"/>
    </xf>
    <xf numFmtId="174" fontId="9" fillId="0" borderId="19" xfId="0" applyNumberFormat="1" applyFont="1" applyBorder="1" applyAlignment="1">
      <alignment horizontal="left"/>
    </xf>
    <xf numFmtId="174" fontId="9" fillId="0" borderId="107" xfId="0" applyNumberFormat="1" applyFont="1" applyBorder="1" applyAlignment="1">
      <alignment horizontal="left"/>
    </xf>
    <xf numFmtId="14" fontId="69" fillId="0" borderId="0" xfId="0" applyNumberFormat="1" applyFont="1" applyAlignment="1">
      <alignment horizontal="left"/>
    </xf>
    <xf numFmtId="176" fontId="52" fillId="0" borderId="0" xfId="0" applyNumberFormat="1" applyFont="1" applyAlignment="1" applyProtection="1">
      <alignment horizontal="left"/>
      <protection locked="0"/>
    </xf>
    <xf numFmtId="176" fontId="16" fillId="0" borderId="0" xfId="0" applyNumberFormat="1" applyFont="1" applyAlignment="1">
      <alignment horizontal="right"/>
    </xf>
    <xf numFmtId="190" fontId="2" fillId="0" borderId="0" xfId="0" applyNumberFormat="1" applyFont="1" applyAlignment="1">
      <alignment horizontal="right"/>
    </xf>
    <xf numFmtId="177" fontId="16" fillId="0" borderId="0" xfId="0" applyNumberFormat="1" applyFont="1" applyAlignment="1">
      <alignment horizontal="right"/>
    </xf>
    <xf numFmtId="174" fontId="9" fillId="0" borderId="108" xfId="0" applyNumberFormat="1" applyFont="1" applyBorder="1" applyAlignment="1">
      <alignment horizontal="left"/>
    </xf>
    <xf numFmtId="174" fontId="9" fillId="0" borderId="102" xfId="0" applyNumberFormat="1" applyFont="1" applyBorder="1" applyAlignment="1">
      <alignment horizontal="left"/>
    </xf>
    <xf numFmtId="174" fontId="9" fillId="0" borderId="106" xfId="0" applyNumberFormat="1" applyFont="1" applyBorder="1" applyAlignment="1">
      <alignment horizontal="left"/>
    </xf>
    <xf numFmtId="177" fontId="2" fillId="0" borderId="0" xfId="0" applyNumberFormat="1" applyFont="1" applyAlignment="1">
      <alignment horizontal="right"/>
    </xf>
    <xf numFmtId="2" fontId="9" fillId="0" borderId="108" xfId="0" applyNumberFormat="1" applyFont="1" applyBorder="1" applyAlignment="1">
      <alignment horizontal="left"/>
    </xf>
    <xf numFmtId="2" fontId="9" fillId="0" borderId="102" xfId="0" applyNumberFormat="1" applyFont="1" applyBorder="1" applyAlignment="1">
      <alignment horizontal="left"/>
    </xf>
    <xf numFmtId="2" fontId="9" fillId="0" borderId="106" xfId="0" applyNumberFormat="1" applyFont="1" applyBorder="1" applyAlignment="1">
      <alignment horizontal="left"/>
    </xf>
    <xf numFmtId="0" fontId="16" fillId="0" borderId="51" xfId="0" applyFont="1" applyBorder="1" applyAlignment="1">
      <alignment horizontal="center"/>
    </xf>
    <xf numFmtId="0" fontId="2" fillId="0" borderId="98" xfId="0" applyFont="1" applyBorder="1" applyAlignment="1">
      <alignment horizontal="left"/>
    </xf>
    <xf numFmtId="181" fontId="63" fillId="0" borderId="78" xfId="0" applyNumberFormat="1" applyFont="1" applyBorder="1" applyAlignment="1">
      <alignment horizontal="right"/>
    </xf>
    <xf numFmtId="0" fontId="16" fillId="0" borderId="45" xfId="0" applyFont="1" applyBorder="1" applyAlignment="1">
      <alignment horizontal="center"/>
    </xf>
    <xf numFmtId="0" fontId="16" fillId="2" borderId="22" xfId="0" applyFont="1" applyFill="1" applyBorder="1" applyAlignment="1">
      <alignment horizontal="center"/>
    </xf>
    <xf numFmtId="0" fontId="16" fillId="0" borderId="20" xfId="0" applyFont="1" applyBorder="1" applyAlignment="1">
      <alignment horizontal="left"/>
    </xf>
    <xf numFmtId="182" fontId="2" fillId="0" borderId="19" xfId="0" applyNumberFormat="1" applyFont="1" applyBorder="1" applyAlignment="1">
      <alignment horizontal="right"/>
    </xf>
    <xf numFmtId="181" fontId="63" fillId="0" borderId="19" xfId="0" applyNumberFormat="1" applyFont="1" applyBorder="1" applyAlignment="1">
      <alignment horizontal="right"/>
    </xf>
    <xf numFmtId="0" fontId="16" fillId="0" borderId="100" xfId="0" applyFont="1" applyBorder="1" applyAlignment="1">
      <alignment horizontal="left"/>
    </xf>
    <xf numFmtId="182" fontId="2" fillId="0" borderId="100" xfId="0" applyNumberFormat="1" applyFont="1" applyBorder="1" applyAlignment="1">
      <alignment horizontal="right"/>
    </xf>
    <xf numFmtId="181" fontId="63" fillId="0" borderId="76" xfId="0" applyNumberFormat="1" applyFont="1" applyBorder="1" applyAlignment="1">
      <alignment horizontal="right"/>
    </xf>
    <xf numFmtId="14" fontId="2" fillId="0" borderId="93" xfId="0" applyNumberFormat="1" applyFont="1" applyBorder="1" applyAlignment="1">
      <alignment horizontal="center"/>
    </xf>
    <xf numFmtId="0" fontId="16" fillId="0" borderId="19" xfId="0" applyFont="1" applyBorder="1" applyAlignment="1">
      <alignment horizontal="left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99" xfId="0" applyFont="1" applyBorder="1" applyAlignment="1" applyProtection="1">
      <alignment horizontal="left"/>
      <protection locked="0"/>
    </xf>
    <xf numFmtId="0" fontId="6" fillId="2" borderId="74" xfId="0" applyFont="1" applyFill="1" applyBorder="1" applyAlignment="1">
      <alignment horizontal="left"/>
    </xf>
    <xf numFmtId="0" fontId="2" fillId="0" borderId="98" xfId="0" applyFont="1" applyBorder="1" applyAlignment="1" applyProtection="1">
      <alignment horizontal="left"/>
      <protection locked="0"/>
    </xf>
    <xf numFmtId="0" fontId="32" fillId="0" borderId="0" xfId="0" applyFont="1" applyAlignment="1">
      <alignment horizontal="right"/>
    </xf>
    <xf numFmtId="0" fontId="63" fillId="0" borderId="18" xfId="0" applyFont="1" applyBorder="1" applyAlignment="1">
      <alignment horizontal="center"/>
    </xf>
    <xf numFmtId="183" fontId="52" fillId="0" borderId="0" xfId="0" applyNumberFormat="1" applyFont="1" applyAlignment="1">
      <alignment horizontal="right"/>
    </xf>
    <xf numFmtId="183" fontId="2" fillId="0" borderId="0" xfId="0" applyNumberFormat="1" applyFont="1" applyAlignment="1">
      <alignment horizontal="right"/>
    </xf>
    <xf numFmtId="184" fontId="2" fillId="0" borderId="0" xfId="0" applyNumberFormat="1" applyFont="1" applyAlignment="1">
      <alignment horizontal="left"/>
    </xf>
    <xf numFmtId="185" fontId="52" fillId="0" borderId="0" xfId="0" applyNumberFormat="1" applyFont="1" applyAlignment="1">
      <alignment horizontal="right"/>
    </xf>
    <xf numFmtId="176" fontId="2" fillId="0" borderId="0" xfId="0" applyNumberFormat="1" applyFont="1" applyAlignment="1">
      <alignment horizontal="left"/>
    </xf>
  </cellXfs>
  <cellStyles count="2">
    <cellStyle name="Standard" xfId="0" builtinId="0"/>
    <cellStyle name="Standard_SPESEN" xfId="1" xr:uid="{00000000-0005-0000-0000-000001000000}"/>
  </cellStyles>
  <dxfs count="77"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3E3E3"/>
      <rgbColor rgb="00660066"/>
      <rgbColor rgb="00FF8080"/>
      <rgbColor rgb="000066CC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0E0E0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3497580</xdr:colOff>
      <xdr:row>0</xdr:row>
      <xdr:rowOff>30480</xdr:rowOff>
    </xdr:from>
    <xdr:to>
      <xdr:col>7</xdr:col>
      <xdr:colOff>830580</xdr:colOff>
      <xdr:row>2</xdr:row>
      <xdr:rowOff>83820</xdr:rowOff>
    </xdr:to>
    <xdr:pic>
      <xdr:nvPicPr>
        <xdr:cNvPr id="1033" name="Picture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5780" y="30480"/>
          <a:ext cx="83058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1273" name="Picture 1">
          <a:extLst>
            <a:ext uri="{FF2B5EF4-FFF2-40B4-BE49-F238E27FC236}">
              <a16:creationId xmlns:a16="http://schemas.microsoft.com/office/drawing/2014/main" id="{00000000-0008-0000-0A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867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12297" name="Picture 1">
          <a:extLst>
            <a:ext uri="{FF2B5EF4-FFF2-40B4-BE49-F238E27FC236}">
              <a16:creationId xmlns:a16="http://schemas.microsoft.com/office/drawing/2014/main" id="{00000000-0008-0000-0B00-000009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867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3321" name="Picture 1">
          <a:extLst>
            <a:ext uri="{FF2B5EF4-FFF2-40B4-BE49-F238E27FC236}">
              <a16:creationId xmlns:a16="http://schemas.microsoft.com/office/drawing/2014/main" id="{00000000-0008-0000-0C00-000009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867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259080</xdr:colOff>
      <xdr:row>3</xdr:row>
      <xdr:rowOff>45720</xdr:rowOff>
    </xdr:to>
    <xdr:pic>
      <xdr:nvPicPr>
        <xdr:cNvPr id="14345" name="Picture 1">
          <a:extLst>
            <a:ext uri="{FF2B5EF4-FFF2-40B4-BE49-F238E27FC236}">
              <a16:creationId xmlns:a16="http://schemas.microsoft.com/office/drawing/2014/main" id="{00000000-0008-0000-0D00-000009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867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5369" name="Picture 1">
          <a:extLst>
            <a:ext uri="{FF2B5EF4-FFF2-40B4-BE49-F238E27FC236}">
              <a16:creationId xmlns:a16="http://schemas.microsoft.com/office/drawing/2014/main" id="{00000000-0008-0000-0E00-000009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867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60960</xdr:colOff>
      <xdr:row>0</xdr:row>
      <xdr:rowOff>53340</xdr:rowOff>
    </xdr:from>
    <xdr:to>
      <xdr:col>14</xdr:col>
      <xdr:colOff>662940</xdr:colOff>
      <xdr:row>1</xdr:row>
      <xdr:rowOff>274320</xdr:rowOff>
    </xdr:to>
    <xdr:pic>
      <xdr:nvPicPr>
        <xdr:cNvPr id="18441" name="Picture 2">
          <a:extLst>
            <a:ext uri="{FF2B5EF4-FFF2-40B4-BE49-F238E27FC236}">
              <a16:creationId xmlns:a16="http://schemas.microsoft.com/office/drawing/2014/main" id="{00000000-0008-0000-0F00-000009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53340"/>
          <a:ext cx="601980" cy="441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15240</xdr:rowOff>
    </xdr:from>
    <xdr:to>
      <xdr:col>3</xdr:col>
      <xdr:colOff>121920</xdr:colOff>
      <xdr:row>1</xdr:row>
      <xdr:rowOff>327660</xdr:rowOff>
    </xdr:to>
    <xdr:pic>
      <xdr:nvPicPr>
        <xdr:cNvPr id="17417" name="Picture 1">
          <a:extLst>
            <a:ext uri="{FF2B5EF4-FFF2-40B4-BE49-F238E27FC236}">
              <a16:creationId xmlns:a16="http://schemas.microsoft.com/office/drawing/2014/main" id="{00000000-0008-0000-1000-000009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5240"/>
          <a:ext cx="86106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0</xdr:row>
      <xdr:rowOff>7620</xdr:rowOff>
    </xdr:from>
    <xdr:to>
      <xdr:col>8</xdr:col>
      <xdr:colOff>1211580</xdr:colOff>
      <xdr:row>2</xdr:row>
      <xdr:rowOff>160020</xdr:rowOff>
    </xdr:to>
    <xdr:pic>
      <xdr:nvPicPr>
        <xdr:cNvPr id="3089" name="Picture 1">
          <a:extLst>
            <a:ext uri="{FF2B5EF4-FFF2-40B4-BE49-F238E27FC236}">
              <a16:creationId xmlns:a16="http://schemas.microsoft.com/office/drawing/2014/main" id="{00000000-0008-0000-0200-00001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7620"/>
          <a:ext cx="792480" cy="579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434340</xdr:colOff>
      <xdr:row>27</xdr:row>
      <xdr:rowOff>0</xdr:rowOff>
    </xdr:from>
    <xdr:to>
      <xdr:col>8</xdr:col>
      <xdr:colOff>1219200</xdr:colOff>
      <xdr:row>29</xdr:row>
      <xdr:rowOff>152400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00000000-0008-0000-0200-00001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4440" y="5128260"/>
          <a:ext cx="784860" cy="579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259080</xdr:colOff>
      <xdr:row>3</xdr:row>
      <xdr:rowOff>45720</xdr:rowOff>
    </xdr:to>
    <xdr:pic>
      <xdr:nvPicPr>
        <xdr:cNvPr id="4105" name="Picture 4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7150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5129" name="Picture 1">
          <a:extLst>
            <a:ext uri="{FF2B5EF4-FFF2-40B4-BE49-F238E27FC236}">
              <a16:creationId xmlns:a16="http://schemas.microsoft.com/office/drawing/2014/main" id="{00000000-0008-0000-04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867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6153" name="Picture 1">
          <a:extLst>
            <a:ext uri="{FF2B5EF4-FFF2-40B4-BE49-F238E27FC236}">
              <a16:creationId xmlns:a16="http://schemas.microsoft.com/office/drawing/2014/main" id="{00000000-0008-0000-0500-00000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867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7177" name="Picture 1">
          <a:extLst>
            <a:ext uri="{FF2B5EF4-FFF2-40B4-BE49-F238E27FC236}">
              <a16:creationId xmlns:a16="http://schemas.microsoft.com/office/drawing/2014/main" id="{00000000-0008-0000-0600-00000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867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8201" name="Picture 1">
          <a:extLst>
            <a:ext uri="{FF2B5EF4-FFF2-40B4-BE49-F238E27FC236}">
              <a16:creationId xmlns:a16="http://schemas.microsoft.com/office/drawing/2014/main" id="{00000000-0008-0000-0700-00000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867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9225" name="Picture 1">
          <a:extLst>
            <a:ext uri="{FF2B5EF4-FFF2-40B4-BE49-F238E27FC236}">
              <a16:creationId xmlns:a16="http://schemas.microsoft.com/office/drawing/2014/main" id="{00000000-0008-0000-0800-000009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0198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0249" name="Picture 1">
          <a:extLst>
            <a:ext uri="{FF2B5EF4-FFF2-40B4-BE49-F238E27FC236}">
              <a16:creationId xmlns:a16="http://schemas.microsoft.com/office/drawing/2014/main" id="{00000000-0008-0000-0900-00000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867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3"/>
  <sheetViews>
    <sheetView showGridLines="0" tabSelected="1" workbookViewId="0">
      <selection activeCell="D7" sqref="D7:H7"/>
    </sheetView>
  </sheetViews>
  <sheetFormatPr baseColWidth="10" defaultColWidth="11.42578125" defaultRowHeight="12.75"/>
  <cols>
    <col min="1" max="1" width="19.85546875" customWidth="1"/>
    <col min="2" max="2" width="3.140625" customWidth="1"/>
    <col min="3" max="3" width="24.28515625" customWidth="1"/>
    <col min="4" max="4" width="17.28515625" customWidth="1"/>
    <col min="5" max="5" width="3.7109375" customWidth="1"/>
    <col min="7" max="7" width="39" customWidth="1"/>
    <col min="8" max="8" width="13" customWidth="1"/>
    <col min="9" max="9" width="7.42578125" style="1" customWidth="1"/>
    <col min="10" max="10" width="11.5703125" style="2" customWidth="1"/>
    <col min="11" max="11" width="7" style="2" customWidth="1"/>
    <col min="12" max="12" width="3.140625" customWidth="1"/>
    <col min="13" max="13" width="11.5703125" style="2" customWidth="1"/>
    <col min="14" max="14" width="7.140625" style="2" customWidth="1"/>
    <col min="15" max="15" width="3.140625" customWidth="1"/>
    <col min="16" max="16" width="11.5703125" style="2" customWidth="1"/>
    <col min="17" max="17" width="7" style="2" customWidth="1"/>
    <col min="18" max="18" width="3.140625" customWidth="1"/>
    <col min="19" max="19" width="11.5703125" style="2" customWidth="1"/>
    <col min="20" max="20" width="7" style="2" customWidth="1"/>
    <col min="21" max="21" width="3.140625" customWidth="1"/>
    <col min="22" max="22" width="11.5703125" style="2" customWidth="1"/>
    <col min="23" max="23" width="7" style="2" customWidth="1"/>
    <col min="24" max="24" width="3.140625" customWidth="1"/>
    <col min="25" max="25" width="11.5703125" style="2" customWidth="1"/>
    <col min="26" max="26" width="7" style="2" customWidth="1"/>
  </cols>
  <sheetData>
    <row r="1" spans="1:34" ht="33.75">
      <c r="A1" s="3" t="s">
        <v>0</v>
      </c>
      <c r="B1" s="4"/>
      <c r="C1" s="5"/>
      <c r="D1" s="6"/>
      <c r="E1" s="7"/>
      <c r="F1" s="7"/>
      <c r="G1" s="7"/>
      <c r="H1" s="8"/>
      <c r="I1" s="9"/>
      <c r="L1" s="10"/>
      <c r="O1" s="10"/>
      <c r="R1" s="10"/>
      <c r="U1" s="10"/>
      <c r="X1" s="10"/>
    </row>
    <row r="2" spans="1:34" ht="15.75">
      <c r="A2" s="11" t="s">
        <v>248</v>
      </c>
      <c r="B2" s="12"/>
      <c r="C2" s="12"/>
      <c r="D2" s="12"/>
      <c r="E2" s="13" t="s">
        <v>196</v>
      </c>
      <c r="F2" s="12"/>
      <c r="G2" s="12"/>
      <c r="H2" s="14"/>
    </row>
    <row r="3" spans="1:34" ht="14.45" customHeight="1">
      <c r="A3" s="15"/>
      <c r="B3" s="16"/>
      <c r="C3" s="16"/>
      <c r="D3" s="16"/>
      <c r="E3" s="16"/>
      <c r="F3" s="16"/>
      <c r="G3" s="16"/>
      <c r="H3" s="17"/>
    </row>
    <row r="4" spans="1:34" ht="5.0999999999999996" customHeight="1"/>
    <row r="5" spans="1:34" ht="25.5" customHeight="1">
      <c r="A5" s="18" t="s">
        <v>1</v>
      </c>
      <c r="B5" s="18"/>
      <c r="C5" s="19"/>
      <c r="D5" s="19"/>
      <c r="F5" s="20">
        <v>2026</v>
      </c>
      <c r="G5" s="21" t="s">
        <v>2</v>
      </c>
      <c r="I5" s="22"/>
      <c r="L5" s="23"/>
      <c r="O5" s="23"/>
      <c r="R5" s="23"/>
      <c r="U5" s="23"/>
      <c r="X5" s="23"/>
    </row>
    <row r="6" spans="1:34">
      <c r="A6" s="24"/>
      <c r="B6" s="25"/>
      <c r="C6" s="26"/>
      <c r="D6" s="26"/>
      <c r="L6" s="25"/>
      <c r="O6" s="25"/>
      <c r="R6" s="25"/>
      <c r="U6" s="25"/>
      <c r="X6" s="25"/>
    </row>
    <row r="7" spans="1:34" ht="24.95" customHeight="1">
      <c r="A7" s="390" t="s">
        <v>3</v>
      </c>
      <c r="B7" s="390"/>
      <c r="C7" s="390"/>
      <c r="D7" s="391" t="s">
        <v>241</v>
      </c>
      <c r="E7" s="391"/>
      <c r="F7" s="391"/>
      <c r="G7" s="391"/>
      <c r="H7" s="391"/>
    </row>
    <row r="8" spans="1:34" ht="15.95" customHeight="1">
      <c r="A8" s="27" t="s">
        <v>195</v>
      </c>
      <c r="B8" s="27"/>
      <c r="C8" s="27"/>
      <c r="D8" s="391" t="s">
        <v>249</v>
      </c>
      <c r="E8" s="391"/>
      <c r="F8" s="391"/>
      <c r="G8" s="391"/>
      <c r="H8" s="391"/>
      <c r="AC8" s="32"/>
      <c r="AD8" s="33"/>
    </row>
    <row r="9" spans="1:34" ht="15.95" customHeight="1">
      <c r="A9" s="390" t="str">
        <f>"Urlaubsanspruch in Stunden für das Jahr "&amp;F5&amp;":"</f>
        <v>Urlaubsanspruch in Stunden für das Jahr 2026:</v>
      </c>
      <c r="B9" s="390"/>
      <c r="C9" s="390"/>
      <c r="D9" s="34">
        <v>0</v>
      </c>
      <c r="E9" s="35" t="s">
        <v>13</v>
      </c>
      <c r="F9" s="36" t="s">
        <v>251</v>
      </c>
      <c r="G9" s="37"/>
      <c r="H9" s="37"/>
      <c r="AC9" s="32"/>
      <c r="AD9" s="33"/>
    </row>
    <row r="10" spans="1:34" ht="15.95" customHeight="1">
      <c r="A10" s="42" t="str">
        <f>"Resturlaub aus Vorjahr(en) per 31.12."&amp;F5-1&amp;":"</f>
        <v>Resturlaub aus Vorjahr(en) per 31.12.2025:</v>
      </c>
      <c r="D10" s="34">
        <v>0</v>
      </c>
      <c r="E10" t="s">
        <v>13</v>
      </c>
      <c r="F10" s="36" t="s">
        <v>16</v>
      </c>
      <c r="H10" s="37"/>
      <c r="AC10" s="32"/>
      <c r="AD10" s="33"/>
    </row>
    <row r="11" spans="1:34" ht="15.95" customHeight="1">
      <c r="A11" s="42" t="str">
        <f>"Urlaubsanspruch gesamt für "&amp;F5&amp;":"</f>
        <v>Urlaubsanspruch gesamt für 2026:</v>
      </c>
      <c r="D11" s="44">
        <f>SUM(D9:D10)</f>
        <v>0</v>
      </c>
      <c r="H11" s="37"/>
      <c r="AC11" s="45"/>
      <c r="AD11" s="33"/>
    </row>
    <row r="12" spans="1:34" ht="15.95" customHeight="1">
      <c r="A12" s="24"/>
      <c r="B12" s="31"/>
      <c r="C12" s="31"/>
      <c r="D12" s="46"/>
      <c r="E12" s="47"/>
      <c r="F12" s="37"/>
      <c r="G12" s="37"/>
      <c r="H12" s="37"/>
      <c r="AC12" s="45"/>
      <c r="AD12" s="33"/>
    </row>
    <row r="13" spans="1:34" s="49" customFormat="1" ht="15.95" customHeight="1">
      <c r="A13" s="390" t="str">
        <f>"Zeitguthaben/-defizit per 31.12."&amp;F5-1&amp;":"</f>
        <v>Zeitguthaben/-defizit per 31.12.2025:</v>
      </c>
      <c r="B13" s="390"/>
      <c r="C13" s="390"/>
      <c r="D13" s="34">
        <v>0</v>
      </c>
      <c r="E13" s="35" t="s">
        <v>13</v>
      </c>
      <c r="F13" s="37"/>
      <c r="G13" s="37"/>
      <c r="H13" s="48"/>
      <c r="AC13" s="45"/>
      <c r="AD13" s="33"/>
      <c r="AE13"/>
      <c r="AF13"/>
      <c r="AG13"/>
      <c r="AH13"/>
    </row>
    <row r="14" spans="1:34" s="49" customFormat="1" ht="15.95" customHeight="1">
      <c r="A14" s="24"/>
      <c r="B14" s="31"/>
      <c r="C14" s="31"/>
      <c r="D14" s="46"/>
      <c r="E14" s="47"/>
      <c r="F14" s="37"/>
      <c r="G14" s="37"/>
      <c r="H14" s="48"/>
      <c r="AC14" s="45"/>
      <c r="AD14" s="33"/>
      <c r="AE14"/>
      <c r="AF14"/>
      <c r="AG14"/>
      <c r="AH14"/>
    </row>
    <row r="15" spans="1:34" s="49" customFormat="1" ht="15.95" customHeight="1">
      <c r="A15" s="341" t="s">
        <v>193</v>
      </c>
      <c r="B15" s="106"/>
      <c r="C15" s="106"/>
      <c r="D15" s="106"/>
      <c r="E15" s="106"/>
      <c r="F15" s="106"/>
      <c r="G15" s="322"/>
      <c r="H15" s="48"/>
      <c r="AC15" s="45"/>
      <c r="AD15" s="33"/>
      <c r="AE15"/>
      <c r="AF15"/>
      <c r="AG15"/>
      <c r="AH15"/>
    </row>
    <row r="16" spans="1:34" s="49" customFormat="1" ht="15.95" customHeight="1">
      <c r="A16" s="342" t="s">
        <v>197</v>
      </c>
      <c r="B16" s="342"/>
      <c r="C16" s="342"/>
      <c r="D16" s="342"/>
      <c r="E16" s="342"/>
      <c r="F16" s="342"/>
      <c r="G16" s="342"/>
      <c r="H16" s="48"/>
      <c r="AC16" s="45"/>
      <c r="AD16" s="33"/>
      <c r="AE16"/>
      <c r="AF16"/>
      <c r="AG16"/>
      <c r="AH16"/>
    </row>
    <row r="17" spans="1:34" s="49" customFormat="1" ht="15.95" customHeight="1">
      <c r="A17" s="343" t="s">
        <v>198</v>
      </c>
      <c r="B17" s="344"/>
      <c r="C17" s="344"/>
      <c r="D17" s="344"/>
      <c r="E17" s="344"/>
      <c r="F17" s="344"/>
      <c r="G17" s="344"/>
      <c r="H17" s="48"/>
      <c r="AC17" s="45"/>
      <c r="AD17" s="33"/>
      <c r="AE17"/>
      <c r="AF17"/>
      <c r="AG17"/>
      <c r="AH17"/>
    </row>
    <row r="18" spans="1:34" s="49" customFormat="1" ht="15.95" customHeight="1">
      <c r="A18" s="345" t="s">
        <v>194</v>
      </c>
      <c r="B18" s="346"/>
      <c r="C18" s="346"/>
      <c r="D18" s="346"/>
      <c r="E18" s="346"/>
      <c r="F18" s="346"/>
      <c r="G18" s="346"/>
      <c r="H18" s="48"/>
      <c r="AC18" s="45"/>
      <c r="AD18" s="33"/>
      <c r="AE18"/>
      <c r="AF18"/>
      <c r="AG18"/>
      <c r="AH18"/>
    </row>
    <row r="19" spans="1:34" s="49" customFormat="1" ht="15.95" customHeight="1">
      <c r="A19" s="345"/>
      <c r="B19" s="346"/>
      <c r="C19" s="346"/>
      <c r="D19" s="346"/>
      <c r="E19" s="346"/>
      <c r="F19" s="346"/>
      <c r="G19" s="346"/>
      <c r="H19" s="48"/>
      <c r="AC19" s="45"/>
      <c r="AD19" s="33"/>
      <c r="AE19"/>
      <c r="AF19"/>
      <c r="AG19"/>
      <c r="AH19"/>
    </row>
    <row r="20" spans="1:34" s="49" customFormat="1" ht="15.95" customHeight="1">
      <c r="A20" s="52" t="s">
        <v>27</v>
      </c>
      <c r="B20" s="53">
        <v>2</v>
      </c>
      <c r="C20" s="52" t="s">
        <v>14</v>
      </c>
      <c r="D20" s="353">
        <v>8</v>
      </c>
      <c r="E20" s="35" t="s">
        <v>13</v>
      </c>
      <c r="F20" s="48" t="str">
        <f>IF(D20="Ersatzruhetag","   ",IF(TYPE(D20)=2,"Bitte einen Zahlenwert, das Wort  Ersatzruhetag  oder  0,00  eintragen",IF(D20&gt;10,"Die tägliche Normalarbeitszeit darf nicht mehr als 10 h betragen - Bitte korrigieren",IF(D20&lt;0,"Ein Wert kleiner NULL ist nicht möglich - Bitte korrigieren",""))))</f>
        <v/>
      </c>
      <c r="G20" s="48"/>
      <c r="H20" s="48"/>
      <c r="AC20" s="45"/>
      <c r="AD20" s="33"/>
      <c r="AE20"/>
      <c r="AF20"/>
      <c r="AG20"/>
      <c r="AH20"/>
    </row>
    <row r="21" spans="1:34" s="49" customFormat="1" ht="15" customHeight="1">
      <c r="A21" s="57" t="s">
        <v>30</v>
      </c>
      <c r="B21" s="53">
        <v>3</v>
      </c>
      <c r="C21" s="52" t="s">
        <v>17</v>
      </c>
      <c r="D21" s="353">
        <v>8</v>
      </c>
      <c r="E21" s="35" t="s">
        <v>13</v>
      </c>
      <c r="F21" s="48" t="str">
        <f t="shared" ref="F21:F26" si="0">IF(D21="Ersatzruhetag","   ",IF(TYPE(D21)=2,"Bitte einen Zahlenwert, das Wort  Ersatzruhetag  oder  0,00  eintragen",IF(D21&gt;10,"Die tägliche Normalarbeitszeit darf nicht mehr als 10 h betragen - Bitte korrigieren",IF(D21&lt;0,"Ein Wert kleiner NULL ist nicht möglich - Bitte korrigieren",""))))</f>
        <v/>
      </c>
      <c r="G21" s="48"/>
      <c r="H21" s="48"/>
      <c r="AC21" s="45"/>
      <c r="AD21" s="33"/>
      <c r="AE21"/>
      <c r="AF21"/>
      <c r="AG21"/>
      <c r="AH21"/>
    </row>
    <row r="22" spans="1:34" s="49" customFormat="1" ht="15" customHeight="1">
      <c r="A22" s="62"/>
      <c r="B22" s="53">
        <v>4</v>
      </c>
      <c r="C22" s="52" t="s">
        <v>19</v>
      </c>
      <c r="D22" s="353">
        <v>8</v>
      </c>
      <c r="E22" s="35" t="s">
        <v>13</v>
      </c>
      <c r="F22" s="48" t="str">
        <f t="shared" si="0"/>
        <v/>
      </c>
      <c r="H22" s="2"/>
      <c r="AC22" s="45"/>
      <c r="AD22" s="33"/>
      <c r="AE22"/>
      <c r="AF22"/>
      <c r="AG22"/>
      <c r="AH22"/>
    </row>
    <row r="23" spans="1:34" s="49" customFormat="1" ht="15.95" customHeight="1">
      <c r="A23" s="62"/>
      <c r="B23" s="53">
        <v>5</v>
      </c>
      <c r="C23" s="52" t="s">
        <v>21</v>
      </c>
      <c r="D23" s="353">
        <v>8</v>
      </c>
      <c r="E23" s="35" t="s">
        <v>13</v>
      </c>
      <c r="F23" s="48" t="str">
        <f t="shared" si="0"/>
        <v/>
      </c>
      <c r="H23" s="65"/>
      <c r="AC23" s="45"/>
      <c r="AD23" s="33"/>
      <c r="AE23"/>
      <c r="AF23"/>
      <c r="AG23"/>
      <c r="AH23"/>
    </row>
    <row r="24" spans="1:34" s="49" customFormat="1" ht="15.95" customHeight="1">
      <c r="A24" s="62"/>
      <c r="B24" s="53">
        <v>6</v>
      </c>
      <c r="C24" s="52" t="s">
        <v>23</v>
      </c>
      <c r="D24" s="353">
        <v>8</v>
      </c>
      <c r="E24" s="35" t="s">
        <v>13</v>
      </c>
      <c r="F24" s="48" t="str">
        <f t="shared" si="0"/>
        <v/>
      </c>
      <c r="AC24" s="45"/>
      <c r="AD24" s="33"/>
      <c r="AE24"/>
      <c r="AF24"/>
      <c r="AG24"/>
      <c r="AH24"/>
    </row>
    <row r="25" spans="1:34" s="49" customFormat="1" ht="15.95" customHeight="1">
      <c r="B25" s="53">
        <v>7</v>
      </c>
      <c r="C25" s="67" t="s">
        <v>25</v>
      </c>
      <c r="D25" s="353">
        <v>0</v>
      </c>
      <c r="E25" s="49" t="s">
        <v>13</v>
      </c>
      <c r="F25" s="48" t="str">
        <f t="shared" si="0"/>
        <v/>
      </c>
      <c r="G25" s="68"/>
      <c r="AC25" s="45"/>
      <c r="AD25" s="33"/>
      <c r="AE25"/>
      <c r="AF25"/>
      <c r="AG25"/>
      <c r="AH25"/>
    </row>
    <row r="26" spans="1:34" s="49" customFormat="1" ht="15.95" customHeight="1">
      <c r="A26" s="52"/>
      <c r="B26" s="53">
        <v>1</v>
      </c>
      <c r="C26" s="70" t="s">
        <v>240</v>
      </c>
      <c r="D26" s="353">
        <v>0</v>
      </c>
      <c r="E26" s="35" t="s">
        <v>13</v>
      </c>
      <c r="F26" s="48" t="str">
        <f t="shared" si="0"/>
        <v/>
      </c>
      <c r="J26" s="347" t="s">
        <v>33</v>
      </c>
      <c r="AC26" s="45"/>
      <c r="AD26" s="33"/>
      <c r="AE26"/>
      <c r="AF26"/>
      <c r="AG26"/>
      <c r="AH26"/>
    </row>
    <row r="27" spans="1:34" s="49" customFormat="1" ht="15.95" customHeight="1">
      <c r="A27" s="52" t="s">
        <v>47</v>
      </c>
      <c r="B27" s="52"/>
      <c r="C27" s="52"/>
      <c r="D27" s="349">
        <f>SUM(D20:D26)</f>
        <v>40</v>
      </c>
      <c r="E27" s="71" t="s">
        <v>13</v>
      </c>
      <c r="J27" s="347" t="s">
        <v>36</v>
      </c>
      <c r="AC27" s="45"/>
      <c r="AD27" s="33"/>
      <c r="AE27"/>
      <c r="AF27"/>
      <c r="AG27"/>
      <c r="AH27"/>
    </row>
    <row r="28" spans="1:34" ht="15.95" customHeight="1">
      <c r="A28" s="52"/>
      <c r="B28" s="52"/>
      <c r="C28" s="52"/>
      <c r="D28" s="72"/>
      <c r="E28" s="35"/>
      <c r="J28" s="348" t="s">
        <v>38</v>
      </c>
      <c r="AC28" s="45"/>
      <c r="AD28" s="33"/>
    </row>
    <row r="29" spans="1:34" ht="15.95" customHeight="1">
      <c r="A29" s="52" t="s">
        <v>49</v>
      </c>
      <c r="B29" s="52"/>
      <c r="C29" s="52"/>
      <c r="D29" s="354">
        <v>5</v>
      </c>
      <c r="E29" s="71" t="s">
        <v>50</v>
      </c>
      <c r="AC29" s="45"/>
      <c r="AD29" s="45"/>
    </row>
    <row r="30" spans="1:34" ht="15.95" customHeight="1">
      <c r="A30" s="73"/>
      <c r="B30" s="73"/>
      <c r="AC30" s="45"/>
      <c r="AD30" s="45"/>
    </row>
    <row r="31" spans="1:34" s="71" customFormat="1" ht="15.95" customHeight="1">
      <c r="AC31" s="45"/>
      <c r="AD31" s="45"/>
      <c r="AE31"/>
      <c r="AF31"/>
      <c r="AG31"/>
      <c r="AH31"/>
    </row>
    <row r="32" spans="1:34" ht="15.95" customHeight="1">
      <c r="A32" s="74" t="s">
        <v>52</v>
      </c>
      <c r="F32" t="s">
        <v>53</v>
      </c>
      <c r="I32" s="28"/>
      <c r="J32" s="29" t="s">
        <v>5</v>
      </c>
      <c r="K32" s="30" t="s">
        <v>6</v>
      </c>
      <c r="L32" s="31"/>
      <c r="M32" s="29" t="s">
        <v>7</v>
      </c>
      <c r="N32" s="30" t="s">
        <v>6</v>
      </c>
      <c r="O32" s="31"/>
      <c r="P32" s="29" t="s">
        <v>8</v>
      </c>
      <c r="Q32" s="30" t="s">
        <v>6</v>
      </c>
      <c r="R32" s="31"/>
      <c r="S32" s="29" t="s">
        <v>9</v>
      </c>
      <c r="T32" s="30" t="s">
        <v>6</v>
      </c>
      <c r="U32" s="31"/>
      <c r="V32" s="29" t="s">
        <v>10</v>
      </c>
      <c r="W32" s="30" t="s">
        <v>6</v>
      </c>
      <c r="X32" s="31"/>
      <c r="Y32" s="29" t="s">
        <v>11</v>
      </c>
      <c r="Z32" s="30" t="s">
        <v>6</v>
      </c>
    </row>
    <row r="33" spans="1:26" ht="15.95" customHeight="1">
      <c r="I33" s="38">
        <v>2</v>
      </c>
      <c r="J33" s="39" t="s">
        <v>14</v>
      </c>
      <c r="K33" s="40">
        <f>$D$20</f>
        <v>8</v>
      </c>
      <c r="L33" s="41">
        <v>2</v>
      </c>
      <c r="M33" s="39" t="s">
        <v>14</v>
      </c>
      <c r="N33" s="40">
        <f t="shared" ref="N33:N39" si="1">K33</f>
        <v>8</v>
      </c>
      <c r="O33" s="41">
        <v>2</v>
      </c>
      <c r="P33" s="39" t="s">
        <v>14</v>
      </c>
      <c r="Q33" s="40">
        <f>N33</f>
        <v>8</v>
      </c>
      <c r="R33" s="41">
        <v>2</v>
      </c>
      <c r="S33" s="39" t="s">
        <v>14</v>
      </c>
      <c r="T33" s="40">
        <f t="shared" ref="T33:T39" si="2">Q33</f>
        <v>8</v>
      </c>
      <c r="U33" s="41">
        <v>2</v>
      </c>
      <c r="V33" s="39" t="s">
        <v>14</v>
      </c>
      <c r="W33" s="40">
        <f t="shared" ref="W33:W39" si="3">T33</f>
        <v>8</v>
      </c>
      <c r="X33" s="41">
        <v>2</v>
      </c>
      <c r="Y33" s="39" t="s">
        <v>14</v>
      </c>
      <c r="Z33" s="40">
        <f t="shared" ref="Z33:Z39" si="4">W33</f>
        <v>8</v>
      </c>
    </row>
    <row r="34" spans="1:26" ht="14.1" customHeight="1">
      <c r="A34" s="42" t="s">
        <v>54</v>
      </c>
      <c r="B34" s="76">
        <v>2</v>
      </c>
      <c r="C34" s="77">
        <v>1</v>
      </c>
      <c r="D34" s="78" t="s">
        <v>55</v>
      </c>
      <c r="E34" s="79"/>
      <c r="F34" s="79"/>
      <c r="G34" s="79"/>
      <c r="H34" s="79"/>
      <c r="I34" s="38">
        <v>3</v>
      </c>
      <c r="J34" s="39" t="s">
        <v>17</v>
      </c>
      <c r="K34" s="43">
        <f>$D$21</f>
        <v>8</v>
      </c>
      <c r="L34" s="41">
        <v>3</v>
      </c>
      <c r="M34" s="39" t="s">
        <v>17</v>
      </c>
      <c r="N34" s="43">
        <f t="shared" si="1"/>
        <v>8</v>
      </c>
      <c r="O34" s="41">
        <v>3</v>
      </c>
      <c r="P34" s="39" t="s">
        <v>17</v>
      </c>
      <c r="Q34" s="43">
        <f t="shared" ref="Q34:Q39" si="5">N34</f>
        <v>8</v>
      </c>
      <c r="R34" s="41">
        <v>3</v>
      </c>
      <c r="S34" s="39" t="s">
        <v>17</v>
      </c>
      <c r="T34" s="43">
        <f t="shared" si="2"/>
        <v>8</v>
      </c>
      <c r="U34" s="41">
        <v>3</v>
      </c>
      <c r="V34" s="39" t="s">
        <v>17</v>
      </c>
      <c r="W34" s="43">
        <f t="shared" si="3"/>
        <v>8</v>
      </c>
      <c r="X34" s="41">
        <v>3</v>
      </c>
      <c r="Y34" s="39" t="s">
        <v>17</v>
      </c>
      <c r="Z34" s="43">
        <f t="shared" si="4"/>
        <v>8</v>
      </c>
    </row>
    <row r="35" spans="1:26" ht="14.1" customHeight="1">
      <c r="B35" s="26"/>
      <c r="C35" s="77">
        <v>2</v>
      </c>
      <c r="D35" s="78" t="s">
        <v>56</v>
      </c>
      <c r="E35" s="79"/>
      <c r="F35" s="79"/>
      <c r="G35" s="79"/>
      <c r="H35" s="79"/>
      <c r="I35" s="38">
        <v>4</v>
      </c>
      <c r="J35" s="39" t="s">
        <v>19</v>
      </c>
      <c r="K35" s="43">
        <f>$D$22</f>
        <v>8</v>
      </c>
      <c r="L35" s="41">
        <v>4</v>
      </c>
      <c r="M35" s="39" t="s">
        <v>19</v>
      </c>
      <c r="N35" s="43">
        <f t="shared" si="1"/>
        <v>8</v>
      </c>
      <c r="O35" s="41">
        <v>4</v>
      </c>
      <c r="P35" s="39" t="s">
        <v>19</v>
      </c>
      <c r="Q35" s="43">
        <f t="shared" si="5"/>
        <v>8</v>
      </c>
      <c r="R35" s="41">
        <v>4</v>
      </c>
      <c r="S35" s="39" t="s">
        <v>19</v>
      </c>
      <c r="T35" s="43">
        <f t="shared" si="2"/>
        <v>8</v>
      </c>
      <c r="U35" s="41">
        <v>4</v>
      </c>
      <c r="V35" s="39" t="s">
        <v>19</v>
      </c>
      <c r="W35" s="43">
        <f t="shared" si="3"/>
        <v>8</v>
      </c>
      <c r="X35" s="41">
        <v>4</v>
      </c>
      <c r="Y35" s="39" t="s">
        <v>19</v>
      </c>
      <c r="Z35" s="43">
        <f t="shared" si="4"/>
        <v>8</v>
      </c>
    </row>
    <row r="36" spans="1:26" ht="14.1" customHeight="1">
      <c r="A36" s="80"/>
      <c r="B36" s="81"/>
      <c r="C36" s="77">
        <v>3</v>
      </c>
      <c r="D36" s="78" t="s">
        <v>57</v>
      </c>
      <c r="E36" s="79"/>
      <c r="F36" s="79"/>
      <c r="G36" s="79"/>
      <c r="H36" s="79"/>
      <c r="I36" s="38">
        <v>5</v>
      </c>
      <c r="J36" s="39" t="s">
        <v>21</v>
      </c>
      <c r="K36" s="43">
        <f>$D$23</f>
        <v>8</v>
      </c>
      <c r="L36" s="41">
        <v>5</v>
      </c>
      <c r="M36" s="39" t="s">
        <v>21</v>
      </c>
      <c r="N36" s="43">
        <f t="shared" si="1"/>
        <v>8</v>
      </c>
      <c r="O36" s="41">
        <v>5</v>
      </c>
      <c r="P36" s="39" t="s">
        <v>21</v>
      </c>
      <c r="Q36" s="43">
        <f t="shared" si="5"/>
        <v>8</v>
      </c>
      <c r="R36" s="41">
        <v>5</v>
      </c>
      <c r="S36" s="39" t="s">
        <v>21</v>
      </c>
      <c r="T36" s="43">
        <f t="shared" si="2"/>
        <v>8</v>
      </c>
      <c r="U36" s="41">
        <v>5</v>
      </c>
      <c r="V36" s="39" t="s">
        <v>21</v>
      </c>
      <c r="W36" s="43">
        <f t="shared" si="3"/>
        <v>8</v>
      </c>
      <c r="X36" s="41">
        <v>5</v>
      </c>
      <c r="Y36" s="39" t="s">
        <v>21</v>
      </c>
      <c r="Z36" s="43">
        <f t="shared" si="4"/>
        <v>8</v>
      </c>
    </row>
    <row r="37" spans="1:26" ht="15.95" customHeight="1">
      <c r="A37" s="82"/>
      <c r="C37" s="77">
        <v>4</v>
      </c>
      <c r="D37" s="78" t="s">
        <v>237</v>
      </c>
      <c r="I37" s="38">
        <v>6</v>
      </c>
      <c r="J37" s="39" t="s">
        <v>23</v>
      </c>
      <c r="K37" s="43">
        <f>$D$24</f>
        <v>8</v>
      </c>
      <c r="L37" s="41">
        <v>6</v>
      </c>
      <c r="M37" s="39" t="s">
        <v>23</v>
      </c>
      <c r="N37" s="43">
        <f t="shared" si="1"/>
        <v>8</v>
      </c>
      <c r="O37" s="41">
        <v>6</v>
      </c>
      <c r="P37" s="39" t="s">
        <v>23</v>
      </c>
      <c r="Q37" s="43">
        <f t="shared" si="5"/>
        <v>8</v>
      </c>
      <c r="R37" s="41">
        <v>6</v>
      </c>
      <c r="S37" s="39" t="s">
        <v>23</v>
      </c>
      <c r="T37" s="43">
        <f t="shared" si="2"/>
        <v>8</v>
      </c>
      <c r="U37" s="41">
        <v>6</v>
      </c>
      <c r="V37" s="39" t="s">
        <v>23</v>
      </c>
      <c r="W37" s="43">
        <f t="shared" si="3"/>
        <v>8</v>
      </c>
      <c r="X37" s="41">
        <v>6</v>
      </c>
      <c r="Y37" s="39" t="s">
        <v>23</v>
      </c>
      <c r="Z37" s="43">
        <f t="shared" si="4"/>
        <v>8</v>
      </c>
    </row>
    <row r="38" spans="1:26" ht="15.95" customHeight="1">
      <c r="A38" s="82" t="str">
        <f>IF(B34&lt;&gt;1,IF(B34&lt;&gt;2,IF(B34&lt;&gt;3,IF(B34&lt;&gt;4,"ACHTUNG: Arbeitszeitmodell wurde nicht korrekt definiert",""),""),""),"")</f>
        <v/>
      </c>
      <c r="I38" s="38">
        <v>7</v>
      </c>
      <c r="J38" s="50" t="s">
        <v>25</v>
      </c>
      <c r="K38" s="51">
        <f>$D$25</f>
        <v>0</v>
      </c>
      <c r="L38" s="41">
        <v>7</v>
      </c>
      <c r="M38" s="50" t="s">
        <v>25</v>
      </c>
      <c r="N38" s="51">
        <f t="shared" si="1"/>
        <v>0</v>
      </c>
      <c r="O38" s="41">
        <v>7</v>
      </c>
      <c r="P38" s="50" t="s">
        <v>25</v>
      </c>
      <c r="Q38" s="51">
        <f t="shared" si="5"/>
        <v>0</v>
      </c>
      <c r="R38" s="41">
        <v>7</v>
      </c>
      <c r="S38" s="50" t="s">
        <v>25</v>
      </c>
      <c r="T38" s="51">
        <f t="shared" si="2"/>
        <v>0</v>
      </c>
      <c r="U38" s="41">
        <v>7</v>
      </c>
      <c r="V38" s="50" t="s">
        <v>25</v>
      </c>
      <c r="W38" s="51">
        <f t="shared" si="3"/>
        <v>0</v>
      </c>
      <c r="X38" s="41">
        <v>7</v>
      </c>
      <c r="Y38" s="50" t="s">
        <v>25</v>
      </c>
      <c r="Z38" s="51">
        <f t="shared" si="4"/>
        <v>0</v>
      </c>
    </row>
    <row r="39" spans="1:26" ht="15.95" customHeight="1">
      <c r="A39" s="42" t="s">
        <v>58</v>
      </c>
      <c r="D39" s="83" t="s">
        <v>242</v>
      </c>
      <c r="E39" s="84"/>
      <c r="F39" s="84"/>
      <c r="G39" s="85"/>
      <c r="I39" s="38">
        <v>1</v>
      </c>
      <c r="J39" s="50" t="s">
        <v>240</v>
      </c>
      <c r="K39" s="51">
        <f>$D$26</f>
        <v>0</v>
      </c>
      <c r="L39" s="41">
        <v>1</v>
      </c>
      <c r="M39" s="50" t="s">
        <v>240</v>
      </c>
      <c r="N39" s="51">
        <f t="shared" si="1"/>
        <v>0</v>
      </c>
      <c r="O39" s="41">
        <v>1</v>
      </c>
      <c r="P39" s="50" t="s">
        <v>240</v>
      </c>
      <c r="Q39" s="51">
        <f t="shared" si="5"/>
        <v>0</v>
      </c>
      <c r="R39" s="41">
        <v>1</v>
      </c>
      <c r="S39" s="50" t="s">
        <v>240</v>
      </c>
      <c r="T39" s="51">
        <f t="shared" si="2"/>
        <v>0</v>
      </c>
      <c r="U39" s="41">
        <v>1</v>
      </c>
      <c r="V39" s="50" t="s">
        <v>240</v>
      </c>
      <c r="W39" s="51">
        <f t="shared" si="3"/>
        <v>0</v>
      </c>
      <c r="X39" s="41">
        <v>1</v>
      </c>
      <c r="Y39" s="50" t="s">
        <v>240</v>
      </c>
      <c r="Z39" s="51">
        <f t="shared" si="4"/>
        <v>0</v>
      </c>
    </row>
    <row r="40" spans="1:26" ht="15.95" customHeight="1">
      <c r="A40" s="42"/>
      <c r="D40" s="82"/>
      <c r="I40" s="54"/>
      <c r="J40" s="55" t="s">
        <v>28</v>
      </c>
      <c r="K40" s="56">
        <f>SUM(K33:K39)</f>
        <v>40</v>
      </c>
      <c r="L40" s="49"/>
      <c r="M40" s="55" t="s">
        <v>28</v>
      </c>
      <c r="N40" s="56">
        <f>SUM(N33:N39)</f>
        <v>40</v>
      </c>
      <c r="O40" s="49"/>
      <c r="P40" s="55" t="s">
        <v>28</v>
      </c>
      <c r="Q40" s="56">
        <f>SUM(Q33:Q39)</f>
        <v>40</v>
      </c>
      <c r="R40" s="49"/>
      <c r="S40" s="55" t="s">
        <v>28</v>
      </c>
      <c r="T40" s="56">
        <f>SUM(T33:T39)</f>
        <v>40</v>
      </c>
      <c r="U40" s="49"/>
      <c r="V40" s="55" t="s">
        <v>28</v>
      </c>
      <c r="W40" s="56">
        <f>SUM(W33:W39)</f>
        <v>40</v>
      </c>
      <c r="X40" s="49"/>
      <c r="Y40" s="55" t="s">
        <v>28</v>
      </c>
      <c r="Z40" s="56">
        <f>SUM(Z33:Z39)</f>
        <v>40</v>
      </c>
    </row>
    <row r="41" spans="1:26" ht="15.95" customHeight="1">
      <c r="A41" s="42"/>
      <c r="D41" s="86" t="s">
        <v>59</v>
      </c>
      <c r="I41" s="28"/>
      <c r="J41" s="58"/>
      <c r="K41" s="59"/>
      <c r="L41" s="60"/>
      <c r="M41" s="58" t="s">
        <v>31</v>
      </c>
      <c r="N41" s="61">
        <v>0</v>
      </c>
      <c r="O41" s="60"/>
      <c r="P41" s="58" t="s">
        <v>31</v>
      </c>
      <c r="Q41" s="61">
        <v>0</v>
      </c>
      <c r="R41" s="60"/>
      <c r="S41" s="58" t="s">
        <v>31</v>
      </c>
      <c r="T41" s="61">
        <v>0</v>
      </c>
      <c r="U41" s="60"/>
      <c r="V41" s="58" t="s">
        <v>31</v>
      </c>
      <c r="W41" s="61">
        <v>0</v>
      </c>
      <c r="X41" s="60"/>
      <c r="Y41" s="58" t="s">
        <v>31</v>
      </c>
      <c r="Z41" s="61">
        <v>0</v>
      </c>
    </row>
    <row r="42" spans="1:26" ht="15.95" customHeight="1">
      <c r="A42" s="87" t="str">
        <f>"Feiertage/Dienstfreie Tage im Jahr "&amp;F5</f>
        <v>Feiertage/Dienstfreie Tage im Jahr 2026</v>
      </c>
      <c r="B42" s="87"/>
      <c r="C42" s="87"/>
      <c r="D42" s="352" t="s">
        <v>60</v>
      </c>
      <c r="E42" s="89"/>
      <c r="F42" s="89"/>
      <c r="G42" s="88"/>
      <c r="H42" s="88"/>
      <c r="I42" s="31"/>
      <c r="J42" s="58" t="s">
        <v>34</v>
      </c>
      <c r="K42" s="63">
        <f>B34</f>
        <v>2</v>
      </c>
      <c r="L42" s="64"/>
      <c r="M42" s="58" t="s">
        <v>34</v>
      </c>
      <c r="N42" s="63">
        <f>K42</f>
        <v>2</v>
      </c>
      <c r="O42" s="64"/>
      <c r="P42" s="58" t="s">
        <v>34</v>
      </c>
      <c r="Q42" s="63">
        <f>N42</f>
        <v>2</v>
      </c>
      <c r="R42" s="64"/>
      <c r="S42" s="58" t="s">
        <v>34</v>
      </c>
      <c r="T42" s="63">
        <f>Q42</f>
        <v>2</v>
      </c>
      <c r="U42" s="64"/>
      <c r="V42" s="58" t="s">
        <v>34</v>
      </c>
      <c r="W42" s="63">
        <f>T42</f>
        <v>2</v>
      </c>
      <c r="X42" s="64"/>
      <c r="Y42" s="58" t="s">
        <v>34</v>
      </c>
      <c r="Z42" s="63">
        <f>W42</f>
        <v>2</v>
      </c>
    </row>
    <row r="43" spans="1:26" ht="15.95" customHeight="1">
      <c r="A43" s="91">
        <f>DATE(F$5,1,1)</f>
        <v>46023</v>
      </c>
      <c r="B43" s="75"/>
      <c r="C43" s="90" t="s">
        <v>61</v>
      </c>
      <c r="D43" s="92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5.95" customHeight="1">
      <c r="A44" s="91">
        <f>DATE(F$5,1,6)</f>
        <v>46028</v>
      </c>
      <c r="B44" s="75"/>
      <c r="C44" s="90" t="s">
        <v>62</v>
      </c>
      <c r="D44" s="94"/>
      <c r="F44" s="2"/>
      <c r="G44" s="357" t="s">
        <v>206</v>
      </c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5.95" customHeight="1" thickBot="1">
      <c r="A45" s="95" t="str">
        <f>IF(D45=1,DATE(F$5,3,19),"nicht frei")</f>
        <v>nicht frei</v>
      </c>
      <c r="B45" s="96"/>
      <c r="C45" s="97" t="s">
        <v>63</v>
      </c>
      <c r="D45" s="76"/>
      <c r="F45" s="64"/>
      <c r="G45" s="64"/>
      <c r="I45" s="69"/>
      <c r="J45" s="29" t="s">
        <v>40</v>
      </c>
      <c r="K45" s="30" t="s">
        <v>6</v>
      </c>
      <c r="L45" s="31"/>
      <c r="M45" s="29" t="s">
        <v>41</v>
      </c>
      <c r="N45" s="30" t="s">
        <v>6</v>
      </c>
      <c r="O45" s="31"/>
      <c r="P45" s="29" t="s">
        <v>42</v>
      </c>
      <c r="Q45" s="30" t="s">
        <v>6</v>
      </c>
      <c r="R45" s="31"/>
      <c r="S45" s="29" t="s">
        <v>43</v>
      </c>
      <c r="T45" s="30" t="s">
        <v>6</v>
      </c>
      <c r="U45" s="31"/>
      <c r="V45" s="29" t="s">
        <v>44</v>
      </c>
      <c r="W45" s="30" t="s">
        <v>6</v>
      </c>
      <c r="X45" s="31"/>
      <c r="Y45" s="29" t="s">
        <v>45</v>
      </c>
      <c r="Z45" s="30" t="s">
        <v>6</v>
      </c>
    </row>
    <row r="46" spans="1:26" ht="15.95" customHeight="1" thickBot="1">
      <c r="A46" s="95">
        <f>IF(D46=1,A48-2,"nicht frei")</f>
        <v>46115</v>
      </c>
      <c r="B46" s="97"/>
      <c r="C46" s="97" t="s">
        <v>64</v>
      </c>
      <c r="D46" s="76">
        <v>1</v>
      </c>
      <c r="F46" s="64"/>
      <c r="G46" s="119" t="s">
        <v>202</v>
      </c>
      <c r="I46" s="38">
        <v>2</v>
      </c>
      <c r="J46" s="39" t="s">
        <v>14</v>
      </c>
      <c r="K46" s="40">
        <f t="shared" ref="K46:K52" si="6">Z33</f>
        <v>8</v>
      </c>
      <c r="L46" s="41">
        <v>2</v>
      </c>
      <c r="M46" s="39" t="s">
        <v>14</v>
      </c>
      <c r="N46" s="40">
        <f t="shared" ref="N46:N52" si="7">K46</f>
        <v>8</v>
      </c>
      <c r="O46" s="41">
        <v>2</v>
      </c>
      <c r="P46" s="39" t="s">
        <v>14</v>
      </c>
      <c r="Q46" s="40">
        <f t="shared" ref="Q46:Q52" si="8">N46</f>
        <v>8</v>
      </c>
      <c r="R46" s="41">
        <v>2</v>
      </c>
      <c r="S46" s="39" t="s">
        <v>14</v>
      </c>
      <c r="T46" s="40">
        <f t="shared" ref="T46:T52" si="9">Q46</f>
        <v>8</v>
      </c>
      <c r="U46" s="41">
        <v>2</v>
      </c>
      <c r="V46" s="39" t="s">
        <v>14</v>
      </c>
      <c r="W46" s="40">
        <f t="shared" ref="W46:W52" si="10">T46</f>
        <v>8</v>
      </c>
      <c r="X46" s="41">
        <v>2</v>
      </c>
      <c r="Y46" s="39" t="s">
        <v>14</v>
      </c>
      <c r="Z46" s="40">
        <f t="shared" ref="Z46:Z52" si="11">W46</f>
        <v>8</v>
      </c>
    </row>
    <row r="47" spans="1:26" ht="15.95" customHeight="1">
      <c r="A47" s="91"/>
      <c r="B47" s="90"/>
      <c r="C47" s="90"/>
      <c r="D47" s="98"/>
      <c r="F47" s="64"/>
      <c r="G47" s="355" t="s">
        <v>199</v>
      </c>
      <c r="I47" s="38">
        <v>3</v>
      </c>
      <c r="J47" s="39" t="s">
        <v>17</v>
      </c>
      <c r="K47" s="43">
        <f t="shared" si="6"/>
        <v>8</v>
      </c>
      <c r="L47" s="41">
        <v>3</v>
      </c>
      <c r="M47" s="39" t="s">
        <v>17</v>
      </c>
      <c r="N47" s="43">
        <f t="shared" si="7"/>
        <v>8</v>
      </c>
      <c r="O47" s="41">
        <v>3</v>
      </c>
      <c r="P47" s="39" t="s">
        <v>17</v>
      </c>
      <c r="Q47" s="43">
        <f t="shared" si="8"/>
        <v>8</v>
      </c>
      <c r="R47" s="41">
        <v>3</v>
      </c>
      <c r="S47" s="39" t="s">
        <v>17</v>
      </c>
      <c r="T47" s="43">
        <f t="shared" si="9"/>
        <v>8</v>
      </c>
      <c r="U47" s="41">
        <v>3</v>
      </c>
      <c r="V47" s="39" t="s">
        <v>17</v>
      </c>
      <c r="W47" s="43">
        <f t="shared" si="10"/>
        <v>8</v>
      </c>
      <c r="X47" s="41">
        <v>3</v>
      </c>
      <c r="Y47" s="39" t="s">
        <v>17</v>
      </c>
      <c r="Z47" s="43">
        <f t="shared" si="11"/>
        <v>8</v>
      </c>
    </row>
    <row r="48" spans="1:26" ht="15.95" customHeight="1">
      <c r="A48" s="99">
        <f>DATE(F5,F80,F86)</f>
        <v>46117</v>
      </c>
      <c r="B48" s="93"/>
      <c r="C48" s="100" t="s">
        <v>246</v>
      </c>
      <c r="D48" s="101"/>
      <c r="E48" s="102"/>
      <c r="F48" s="64"/>
      <c r="G48" s="355" t="s">
        <v>200</v>
      </c>
      <c r="I48" s="38">
        <v>4</v>
      </c>
      <c r="J48" s="39" t="s">
        <v>19</v>
      </c>
      <c r="K48" s="43">
        <f t="shared" si="6"/>
        <v>8</v>
      </c>
      <c r="L48" s="41">
        <v>4</v>
      </c>
      <c r="M48" s="39" t="s">
        <v>19</v>
      </c>
      <c r="N48" s="43">
        <f t="shared" si="7"/>
        <v>8</v>
      </c>
      <c r="O48" s="41">
        <v>4</v>
      </c>
      <c r="P48" s="39" t="s">
        <v>19</v>
      </c>
      <c r="Q48" s="43">
        <f t="shared" si="8"/>
        <v>8</v>
      </c>
      <c r="R48" s="41">
        <v>4</v>
      </c>
      <c r="S48" s="39" t="s">
        <v>19</v>
      </c>
      <c r="T48" s="43">
        <f t="shared" si="9"/>
        <v>8</v>
      </c>
      <c r="U48" s="41">
        <v>4</v>
      </c>
      <c r="V48" s="39" t="s">
        <v>19</v>
      </c>
      <c r="W48" s="43">
        <f t="shared" si="10"/>
        <v>8</v>
      </c>
      <c r="X48" s="41">
        <v>4</v>
      </c>
      <c r="Y48" s="39" t="s">
        <v>19</v>
      </c>
      <c r="Z48" s="43">
        <f t="shared" si="11"/>
        <v>8</v>
      </c>
    </row>
    <row r="49" spans="1:26" ht="15.95" customHeight="1" thickBot="1">
      <c r="A49" s="91">
        <f>A48+1</f>
        <v>46118</v>
      </c>
      <c r="B49" s="75"/>
      <c r="C49" s="103" t="s">
        <v>65</v>
      </c>
      <c r="D49" s="98"/>
      <c r="F49" s="64"/>
      <c r="G49" s="355" t="s">
        <v>69</v>
      </c>
      <c r="I49" s="38">
        <v>5</v>
      </c>
      <c r="J49" s="39" t="s">
        <v>21</v>
      </c>
      <c r="K49" s="43">
        <f t="shared" si="6"/>
        <v>8</v>
      </c>
      <c r="L49" s="41">
        <v>5</v>
      </c>
      <c r="M49" s="39" t="s">
        <v>21</v>
      </c>
      <c r="N49" s="43">
        <f t="shared" si="7"/>
        <v>8</v>
      </c>
      <c r="O49" s="41">
        <v>5</v>
      </c>
      <c r="P49" s="39" t="s">
        <v>21</v>
      </c>
      <c r="Q49" s="43">
        <f t="shared" si="8"/>
        <v>8</v>
      </c>
      <c r="R49" s="41">
        <v>5</v>
      </c>
      <c r="S49" s="39" t="s">
        <v>21</v>
      </c>
      <c r="T49" s="43">
        <f t="shared" si="9"/>
        <v>8</v>
      </c>
      <c r="U49" s="41">
        <v>5</v>
      </c>
      <c r="V49" s="39" t="s">
        <v>21</v>
      </c>
      <c r="W49" s="43">
        <f t="shared" si="10"/>
        <v>8</v>
      </c>
      <c r="X49" s="41">
        <v>5</v>
      </c>
      <c r="Y49" s="39" t="s">
        <v>21</v>
      </c>
      <c r="Z49" s="43">
        <f t="shared" si="11"/>
        <v>8</v>
      </c>
    </row>
    <row r="50" spans="1:26" ht="15.95" customHeight="1" thickBot="1">
      <c r="A50" s="95" t="str">
        <f>IF(D50=1,A49+1,"nicht frei")</f>
        <v>nicht frei</v>
      </c>
      <c r="B50" s="96"/>
      <c r="C50" s="104" t="s">
        <v>200</v>
      </c>
      <c r="D50" s="76"/>
      <c r="F50" s="64"/>
      <c r="G50" s="355" t="s">
        <v>209</v>
      </c>
      <c r="I50" s="38">
        <v>6</v>
      </c>
      <c r="J50" s="39" t="s">
        <v>23</v>
      </c>
      <c r="K50" s="43">
        <f t="shared" si="6"/>
        <v>8</v>
      </c>
      <c r="L50" s="41">
        <v>6</v>
      </c>
      <c r="M50" s="39" t="s">
        <v>23</v>
      </c>
      <c r="N50" s="43">
        <f t="shared" si="7"/>
        <v>8</v>
      </c>
      <c r="O50" s="41">
        <v>6</v>
      </c>
      <c r="P50" s="39" t="s">
        <v>23</v>
      </c>
      <c r="Q50" s="43">
        <f t="shared" si="8"/>
        <v>8</v>
      </c>
      <c r="R50" s="41">
        <v>6</v>
      </c>
      <c r="S50" s="39" t="s">
        <v>23</v>
      </c>
      <c r="T50" s="43">
        <f t="shared" si="9"/>
        <v>8</v>
      </c>
      <c r="U50" s="41">
        <v>6</v>
      </c>
      <c r="V50" s="39" t="s">
        <v>23</v>
      </c>
      <c r="W50" s="43">
        <f t="shared" si="10"/>
        <v>8</v>
      </c>
      <c r="X50" s="41">
        <v>6</v>
      </c>
      <c r="Y50" s="39" t="s">
        <v>23</v>
      </c>
      <c r="Z50" s="43">
        <f t="shared" si="11"/>
        <v>8</v>
      </c>
    </row>
    <row r="51" spans="1:26" ht="15.95" customHeight="1">
      <c r="A51" s="91">
        <f>DATE(F$5,5,1)</f>
        <v>46143</v>
      </c>
      <c r="B51" s="75"/>
      <c r="C51" s="90" t="s">
        <v>66</v>
      </c>
      <c r="D51" s="98"/>
      <c r="F51" s="64"/>
      <c r="G51" s="358" t="s">
        <v>208</v>
      </c>
      <c r="I51" s="38">
        <v>7</v>
      </c>
      <c r="J51" s="39" t="s">
        <v>25</v>
      </c>
      <c r="K51" s="51">
        <f t="shared" si="6"/>
        <v>0</v>
      </c>
      <c r="L51" s="41">
        <v>7</v>
      </c>
      <c r="M51" s="39" t="s">
        <v>25</v>
      </c>
      <c r="N51" s="51">
        <f t="shared" si="7"/>
        <v>0</v>
      </c>
      <c r="O51" s="41">
        <v>7</v>
      </c>
      <c r="P51" s="39" t="s">
        <v>25</v>
      </c>
      <c r="Q51" s="51">
        <f t="shared" si="8"/>
        <v>0</v>
      </c>
      <c r="R51" s="41">
        <v>7</v>
      </c>
      <c r="S51" s="39" t="s">
        <v>25</v>
      </c>
      <c r="T51" s="51">
        <f t="shared" si="9"/>
        <v>0</v>
      </c>
      <c r="U51" s="41">
        <v>7</v>
      </c>
      <c r="V51" s="39" t="s">
        <v>25</v>
      </c>
      <c r="W51" s="51">
        <f t="shared" si="10"/>
        <v>0</v>
      </c>
      <c r="X51" s="41">
        <v>7</v>
      </c>
      <c r="Y51" s="39" t="s">
        <v>25</v>
      </c>
      <c r="Z51" s="51">
        <f t="shared" si="11"/>
        <v>0</v>
      </c>
    </row>
    <row r="52" spans="1:26" ht="15.95" customHeight="1">
      <c r="A52" s="91">
        <f>A48+39</f>
        <v>46156</v>
      </c>
      <c r="B52" s="75"/>
      <c r="C52" s="105" t="s">
        <v>67</v>
      </c>
      <c r="D52" s="98"/>
      <c r="F52" s="64"/>
      <c r="G52" s="358" t="s">
        <v>207</v>
      </c>
      <c r="I52" s="38">
        <v>1</v>
      </c>
      <c r="J52" s="50" t="s">
        <v>240</v>
      </c>
      <c r="K52" s="51">
        <f t="shared" si="6"/>
        <v>0</v>
      </c>
      <c r="L52" s="41">
        <v>1</v>
      </c>
      <c r="M52" s="50" t="s">
        <v>240</v>
      </c>
      <c r="N52" s="51">
        <f t="shared" si="7"/>
        <v>0</v>
      </c>
      <c r="O52" s="41">
        <v>1</v>
      </c>
      <c r="P52" s="50" t="s">
        <v>240</v>
      </c>
      <c r="Q52" s="51">
        <f t="shared" si="8"/>
        <v>0</v>
      </c>
      <c r="R52" s="41">
        <v>1</v>
      </c>
      <c r="S52" s="50" t="s">
        <v>240</v>
      </c>
      <c r="T52" s="51">
        <f t="shared" si="9"/>
        <v>0</v>
      </c>
      <c r="U52" s="41">
        <v>1</v>
      </c>
      <c r="V52" s="50" t="s">
        <v>240</v>
      </c>
      <c r="W52" s="51">
        <f t="shared" si="10"/>
        <v>0</v>
      </c>
      <c r="X52" s="41">
        <v>1</v>
      </c>
      <c r="Y52" s="50" t="s">
        <v>240</v>
      </c>
      <c r="Z52" s="51">
        <f t="shared" si="11"/>
        <v>0</v>
      </c>
    </row>
    <row r="53" spans="1:26" ht="15.95" customHeight="1">
      <c r="A53" s="91">
        <f>A48+49</f>
        <v>46166</v>
      </c>
      <c r="B53" s="75"/>
      <c r="C53" s="90" t="s">
        <v>250</v>
      </c>
      <c r="D53" s="98"/>
      <c r="F53" s="64"/>
      <c r="I53" s="75"/>
      <c r="J53" s="55" t="s">
        <v>28</v>
      </c>
      <c r="K53" s="56">
        <f>SUM(K46:K52)</f>
        <v>40</v>
      </c>
      <c r="L53" s="49"/>
      <c r="M53" s="55" t="s">
        <v>28</v>
      </c>
      <c r="N53" s="56">
        <f>SUM(N46:N52)</f>
        <v>40</v>
      </c>
      <c r="O53" s="49"/>
      <c r="P53" s="55" t="s">
        <v>28</v>
      </c>
      <c r="Q53" s="56">
        <f>SUM(Q46:Q52)</f>
        <v>40</v>
      </c>
      <c r="R53" s="49"/>
      <c r="S53" s="55" t="s">
        <v>28</v>
      </c>
      <c r="T53" s="56">
        <f>SUM(T46:T52)</f>
        <v>40</v>
      </c>
      <c r="U53" s="49"/>
      <c r="V53" s="55" t="s">
        <v>28</v>
      </c>
      <c r="W53" s="56">
        <f>SUM(W46:W52)</f>
        <v>40</v>
      </c>
      <c r="X53" s="49"/>
      <c r="Y53" s="55" t="s">
        <v>28</v>
      </c>
      <c r="Z53" s="56">
        <f>SUM(Z46:Z52)</f>
        <v>40</v>
      </c>
    </row>
    <row r="54" spans="1:26" ht="15.95" customHeight="1" thickBot="1">
      <c r="A54" s="91">
        <f>A48+50</f>
        <v>46167</v>
      </c>
      <c r="B54" s="75"/>
      <c r="C54" s="90" t="s">
        <v>68</v>
      </c>
      <c r="D54" s="98"/>
      <c r="F54" s="64"/>
      <c r="J54" s="58" t="s">
        <v>31</v>
      </c>
      <c r="K54" s="61">
        <v>0</v>
      </c>
      <c r="L54" s="64"/>
      <c r="M54" s="58" t="s">
        <v>31</v>
      </c>
      <c r="N54" s="61">
        <v>0</v>
      </c>
      <c r="O54" s="64"/>
      <c r="P54" s="58" t="s">
        <v>31</v>
      </c>
      <c r="Q54" s="61">
        <v>0</v>
      </c>
      <c r="R54" s="64"/>
      <c r="S54" s="58" t="s">
        <v>31</v>
      </c>
      <c r="T54" s="61">
        <v>0</v>
      </c>
      <c r="U54" s="64"/>
      <c r="V54" s="58" t="s">
        <v>31</v>
      </c>
      <c r="W54" s="61">
        <v>0</v>
      </c>
      <c r="X54" s="64"/>
      <c r="Y54" s="58" t="s">
        <v>31</v>
      </c>
      <c r="Z54" s="61">
        <v>0</v>
      </c>
    </row>
    <row r="55" spans="1:26" ht="15.95" customHeight="1" thickBot="1">
      <c r="A55" s="95" t="str">
        <f>IF(D55=1,A54+1,"nicht frei")</f>
        <v>nicht frei</v>
      </c>
      <c r="B55" s="96"/>
      <c r="C55" s="97" t="s">
        <v>69</v>
      </c>
      <c r="D55" s="76"/>
      <c r="F55" s="64"/>
      <c r="G55" s="356" t="s">
        <v>201</v>
      </c>
      <c r="J55" s="58" t="s">
        <v>34</v>
      </c>
      <c r="K55" s="63">
        <f>Z42</f>
        <v>2</v>
      </c>
      <c r="M55" s="58" t="s">
        <v>34</v>
      </c>
      <c r="N55" s="63">
        <f>K55</f>
        <v>2</v>
      </c>
      <c r="P55" s="58" t="s">
        <v>34</v>
      </c>
      <c r="Q55" s="63">
        <f>N55</f>
        <v>2</v>
      </c>
      <c r="S55" s="58" t="s">
        <v>34</v>
      </c>
      <c r="T55" s="63">
        <f>Q55</f>
        <v>2</v>
      </c>
      <c r="V55" s="58" t="s">
        <v>34</v>
      </c>
      <c r="W55" s="63">
        <f>T55</f>
        <v>2</v>
      </c>
      <c r="Y55" s="58" t="s">
        <v>34</v>
      </c>
      <c r="Z55" s="63">
        <f>W55</f>
        <v>2</v>
      </c>
    </row>
    <row r="56" spans="1:26" ht="15.95" customHeight="1">
      <c r="A56" s="91">
        <f>A48+60</f>
        <v>46177</v>
      </c>
      <c r="B56" s="75"/>
      <c r="C56" s="90" t="s">
        <v>70</v>
      </c>
      <c r="D56" s="98"/>
      <c r="F56" s="64"/>
      <c r="G56" s="355" t="s">
        <v>64</v>
      </c>
      <c r="I56" s="75"/>
      <c r="L56" s="75"/>
      <c r="O56" s="75"/>
      <c r="R56" s="75"/>
      <c r="U56" s="75"/>
      <c r="X56" s="75"/>
    </row>
    <row r="57" spans="1:26" ht="15.95" customHeight="1">
      <c r="A57" s="91">
        <f>DATE(F$5,8,15)</f>
        <v>46249</v>
      </c>
      <c r="B57" s="75"/>
      <c r="C57" s="90" t="s">
        <v>71</v>
      </c>
      <c r="D57" s="98"/>
      <c r="F57" s="64"/>
      <c r="G57" s="355" t="s">
        <v>203</v>
      </c>
      <c r="I57" s="75"/>
      <c r="L57" s="75"/>
      <c r="O57" s="75"/>
      <c r="R57" s="75"/>
      <c r="U57" s="75"/>
      <c r="X57" s="75"/>
    </row>
    <row r="58" spans="1:26" ht="15.95" customHeight="1">
      <c r="A58" s="91">
        <f>DATE(F$5,10,26)</f>
        <v>46321</v>
      </c>
      <c r="B58" s="75"/>
      <c r="C58" s="90" t="s">
        <v>72</v>
      </c>
      <c r="D58" s="98"/>
      <c r="F58" s="64"/>
      <c r="G58" s="355" t="s">
        <v>204</v>
      </c>
      <c r="I58" s="75"/>
      <c r="L58" s="75"/>
      <c r="O58" s="75"/>
      <c r="R58" s="75"/>
      <c r="U58" s="75"/>
      <c r="X58" s="75"/>
    </row>
    <row r="59" spans="1:26" ht="15.95" customHeight="1" thickBot="1">
      <c r="A59" s="91">
        <f>DATE(F$5,11,1)</f>
        <v>46327</v>
      </c>
      <c r="B59" s="75"/>
      <c r="C59" s="90" t="s">
        <v>73</v>
      </c>
      <c r="D59" s="98"/>
      <c r="F59" s="64"/>
      <c r="G59" s="355" t="s">
        <v>205</v>
      </c>
      <c r="I59" s="75"/>
      <c r="L59" s="75"/>
      <c r="O59" s="75"/>
      <c r="R59" s="75"/>
      <c r="U59" s="75"/>
      <c r="X59" s="75"/>
    </row>
    <row r="60" spans="1:26" ht="15.95" customHeight="1" thickBot="1">
      <c r="A60" s="95">
        <f>IF(D60=1,A59+1,"nicht frei")</f>
        <v>46328</v>
      </c>
      <c r="B60" s="96"/>
      <c r="C60" s="97" t="s">
        <v>74</v>
      </c>
      <c r="D60" s="76">
        <v>1</v>
      </c>
      <c r="F60" s="64"/>
      <c r="G60" s="355"/>
      <c r="I60" s="75"/>
      <c r="L60" s="75"/>
      <c r="O60" s="75"/>
      <c r="R60" s="75"/>
      <c r="U60" s="75"/>
      <c r="X60" s="75"/>
    </row>
    <row r="61" spans="1:26" ht="15.95" customHeight="1">
      <c r="A61" s="91">
        <f>DATE(F$5,12,8)</f>
        <v>46364</v>
      </c>
      <c r="B61" s="75"/>
      <c r="C61" s="90" t="s">
        <v>75</v>
      </c>
      <c r="D61" s="98"/>
      <c r="F61" s="64"/>
      <c r="G61" s="355"/>
      <c r="I61" s="81"/>
      <c r="L61" s="2"/>
      <c r="O61" s="2"/>
      <c r="R61" s="2"/>
      <c r="U61" s="2"/>
      <c r="X61" s="2"/>
    </row>
    <row r="62" spans="1:26">
      <c r="A62" s="95">
        <f>IF(D62=1,A61+16,"nicht frei")</f>
        <v>46380</v>
      </c>
      <c r="B62" s="96"/>
      <c r="C62" s="97" t="s">
        <v>76</v>
      </c>
      <c r="D62" s="76">
        <v>1</v>
      </c>
      <c r="F62" s="64"/>
      <c r="G62" s="355"/>
    </row>
    <row r="63" spans="1:26">
      <c r="A63" s="91">
        <f>DATE(F$5,12,25)</f>
        <v>46381</v>
      </c>
      <c r="B63" s="75"/>
      <c r="C63" s="90" t="s">
        <v>77</v>
      </c>
      <c r="D63" s="98"/>
      <c r="F63" s="64"/>
      <c r="G63" s="355"/>
    </row>
    <row r="64" spans="1:26">
      <c r="A64" s="91">
        <f>DATE(F$5,12,26)</f>
        <v>46382</v>
      </c>
      <c r="B64" s="75"/>
      <c r="C64" s="90" t="s">
        <v>78</v>
      </c>
      <c r="D64" s="98"/>
      <c r="F64" s="64"/>
      <c r="G64" s="355"/>
    </row>
    <row r="65" spans="1:8">
      <c r="A65" s="95">
        <f>IF(D65=1,A61+23,"nicht frei")</f>
        <v>46387</v>
      </c>
      <c r="B65" s="106"/>
      <c r="C65" s="97" t="s">
        <v>79</v>
      </c>
      <c r="D65" s="76">
        <v>1</v>
      </c>
      <c r="F65" s="64"/>
      <c r="G65" s="355"/>
    </row>
    <row r="66" spans="1:8">
      <c r="F66" s="2"/>
      <c r="G66" s="2"/>
    </row>
    <row r="71" spans="1:8" ht="13.5">
      <c r="A71" s="363"/>
      <c r="B71" s="364"/>
      <c r="C71" s="365"/>
      <c r="F71" s="366">
        <f>MOD($F$5,19)</f>
        <v>12</v>
      </c>
      <c r="G71" s="367" t="s">
        <v>12</v>
      </c>
      <c r="H71" s="368"/>
    </row>
    <row r="72" spans="1:8" ht="13.5">
      <c r="A72" s="363"/>
      <c r="B72" s="364"/>
      <c r="C72" s="365"/>
      <c r="F72" s="366">
        <f>MOD($F$5,4)</f>
        <v>2</v>
      </c>
      <c r="G72" s="367" t="s">
        <v>15</v>
      </c>
      <c r="H72" s="368"/>
    </row>
    <row r="73" spans="1:8" ht="13.5">
      <c r="A73" s="363"/>
      <c r="B73" s="369"/>
      <c r="C73" s="365"/>
      <c r="F73" s="366">
        <f>MOD($F$5,7)</f>
        <v>3</v>
      </c>
      <c r="G73" s="367" t="s">
        <v>18</v>
      </c>
      <c r="H73" s="368"/>
    </row>
    <row r="74" spans="1:8" ht="13.5">
      <c r="A74" s="363"/>
      <c r="B74" s="369"/>
      <c r="C74" s="365"/>
      <c r="F74" s="370">
        <f>MOD(19*F71+24,30)</f>
        <v>12</v>
      </c>
      <c r="G74" s="367" t="s">
        <v>20</v>
      </c>
      <c r="H74" s="368"/>
    </row>
    <row r="75" spans="1:8" ht="13.5">
      <c r="A75" s="371"/>
      <c r="B75" s="372"/>
      <c r="C75" s="373"/>
      <c r="D75" s="374"/>
      <c r="E75" s="375"/>
      <c r="F75" s="370">
        <f>MOD(2*F72+4*F73+6*F74+5,7)</f>
        <v>2</v>
      </c>
      <c r="G75" s="367" t="s">
        <v>22</v>
      </c>
      <c r="H75" s="368"/>
    </row>
    <row r="76" spans="1:8" ht="13.5">
      <c r="A76" s="363"/>
      <c r="B76" s="364"/>
      <c r="C76" s="376"/>
      <c r="F76" s="370">
        <f>22+F74+F75</f>
        <v>36</v>
      </c>
      <c r="G76" s="367" t="s">
        <v>24</v>
      </c>
      <c r="H76" s="368"/>
    </row>
    <row r="77" spans="1:8" ht="13.5">
      <c r="A77" s="363"/>
      <c r="B77" s="364"/>
      <c r="C77" s="365"/>
      <c r="F77" s="370">
        <v>3</v>
      </c>
      <c r="G77" s="367" t="s">
        <v>243</v>
      </c>
      <c r="H77" s="368"/>
    </row>
    <row r="78" spans="1:8" ht="13.5">
      <c r="A78" s="363"/>
      <c r="B78" s="364"/>
      <c r="C78" s="377"/>
      <c r="F78" s="370"/>
      <c r="G78" s="367" t="s">
        <v>26</v>
      </c>
      <c r="H78" s="368"/>
    </row>
    <row r="79" spans="1:8" ht="13.5">
      <c r="A79" s="363"/>
      <c r="B79" s="364"/>
      <c r="C79" s="365"/>
      <c r="F79" s="370">
        <f>IF($F76&gt;31,($F74+$F75-9),$F76)</f>
        <v>5</v>
      </c>
      <c r="G79" s="367" t="s">
        <v>29</v>
      </c>
      <c r="H79" s="368"/>
    </row>
    <row r="80" spans="1:8" ht="13.5">
      <c r="A80" s="363"/>
      <c r="B80" s="364"/>
      <c r="C80" s="365"/>
      <c r="F80" s="370">
        <f>IF(F76&gt;31,4,F77)</f>
        <v>4</v>
      </c>
      <c r="G80" s="367" t="s">
        <v>32</v>
      </c>
      <c r="H80" s="368"/>
    </row>
    <row r="81" spans="1:8" ht="13.5">
      <c r="A81" s="363"/>
      <c r="B81" s="364"/>
      <c r="C81" s="365"/>
      <c r="F81" s="370"/>
      <c r="G81" s="367" t="s">
        <v>35</v>
      </c>
      <c r="H81" s="368"/>
    </row>
    <row r="82" spans="1:8" ht="13.5">
      <c r="A82" s="363"/>
      <c r="B82" s="364"/>
      <c r="C82" s="365"/>
      <c r="F82" s="370"/>
      <c r="G82" s="367" t="s">
        <v>37</v>
      </c>
      <c r="H82" s="368"/>
    </row>
    <row r="83" spans="1:8" ht="13.5">
      <c r="A83" s="363"/>
      <c r="B83" s="364"/>
      <c r="C83" s="365"/>
      <c r="F83" s="370">
        <f>IF(AND(F79=26,F80=4),19,F79)</f>
        <v>5</v>
      </c>
      <c r="G83" s="367" t="s">
        <v>39</v>
      </c>
      <c r="H83" s="368"/>
    </row>
    <row r="84" spans="1:8" ht="13.5">
      <c r="A84" s="363"/>
      <c r="B84" s="364"/>
      <c r="C84" s="365"/>
      <c r="F84" s="370"/>
      <c r="G84" s="367" t="s">
        <v>35</v>
      </c>
      <c r="H84" s="368"/>
    </row>
    <row r="85" spans="1:8" ht="13.5">
      <c r="A85" s="363"/>
      <c r="B85" s="364"/>
      <c r="C85" s="365"/>
      <c r="F85" s="370"/>
      <c r="G85" s="367" t="s">
        <v>46</v>
      </c>
      <c r="H85" s="368"/>
    </row>
    <row r="86" spans="1:8" ht="13.5">
      <c r="A86" s="363"/>
      <c r="B86" s="364"/>
      <c r="C86" s="365"/>
      <c r="F86" s="370">
        <f>IF(AND(F83=25,F80=4,F74=28,F75=6,F71&gt;10),18,F83)</f>
        <v>5</v>
      </c>
      <c r="G86" s="367" t="s">
        <v>48</v>
      </c>
      <c r="H86" s="368"/>
    </row>
    <row r="87" spans="1:8" ht="13.5">
      <c r="A87" s="363"/>
      <c r="B87" s="364"/>
      <c r="C87" s="365"/>
      <c r="F87" s="370"/>
      <c r="G87" s="367" t="s">
        <v>35</v>
      </c>
      <c r="H87" s="368"/>
    </row>
    <row r="88" spans="1:8">
      <c r="A88" s="363"/>
      <c r="B88" s="364"/>
      <c r="C88" s="365"/>
      <c r="F88" s="370"/>
      <c r="G88" s="370" t="s">
        <v>51</v>
      </c>
      <c r="H88" s="368"/>
    </row>
    <row r="89" spans="1:8">
      <c r="A89" s="363"/>
      <c r="B89" s="364"/>
      <c r="C89" s="365"/>
      <c r="F89" s="370"/>
      <c r="G89" s="370" t="s">
        <v>244</v>
      </c>
      <c r="H89" s="368"/>
    </row>
    <row r="90" spans="1:8">
      <c r="A90" s="363"/>
      <c r="B90" s="378"/>
      <c r="C90" s="365"/>
      <c r="F90" s="370"/>
      <c r="G90" s="370" t="s">
        <v>245</v>
      </c>
      <c r="H90" s="368"/>
    </row>
    <row r="91" spans="1:8">
      <c r="F91" s="368"/>
      <c r="G91" s="368"/>
      <c r="H91" s="368"/>
    </row>
    <row r="92" spans="1:8">
      <c r="A92" s="45"/>
      <c r="B92" s="45"/>
    </row>
    <row r="93" spans="1:8">
      <c r="A93" s="45"/>
      <c r="B93" s="45"/>
    </row>
  </sheetData>
  <sheetProtection sheet="1" selectLockedCells="1"/>
  <mergeCells count="5">
    <mergeCell ref="A13:C13"/>
    <mergeCell ref="A7:C7"/>
    <mergeCell ref="D7:H7"/>
    <mergeCell ref="D8:H8"/>
    <mergeCell ref="A9:C9"/>
  </mergeCells>
  <phoneticPr fontId="2" type="noConversion"/>
  <pageMargins left="0.59027777777777779" right="0.59027777777777779" top="0.59027777777777779" bottom="0.59027777777777779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DX48"/>
  <sheetViews>
    <sheetView showGridLines="0" workbookViewId="0">
      <pane ySplit="8" topLeftCell="A9" activePane="bottomLeft" state="frozen"/>
      <selection activeCell="V13" sqref="V13:X13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140625" style="94" customWidth="1"/>
    <col min="4" max="4" width="0.28515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399">
        <f>DATE(Datenblatt!F5,7,1)</f>
        <v>46204</v>
      </c>
      <c r="M2" s="399"/>
      <c r="N2" s="399"/>
      <c r="O2" s="399"/>
      <c r="P2" s="399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"&amp;Datenblatt!$K$46&amp;";"&amp;"    Di: "&amp;Datenblatt!$K$47&amp;";"&amp;"    Mi: "&amp;Datenblatt!$K$48&amp;";"&amp;"    Do: "&amp;Datenblatt!$K$49&amp;";"&amp;"    Fr: "&amp;Datenblatt!$K$50&amp;";"&amp;"    Sa: "&amp;Datenblatt!$K$51&amp;";"&amp;"    So: "&amp;Datenblatt!$K$52&amp;""&amp;"     -    Wochenarbeitszeit:  "&amp;Datenblatt!$K$53&amp;" h"</f>
        <v>Arbeitsstunden/Tag:  Mo: 8;    Di: 8;    Mi: 8;    Do: 8;    Fr: 8;    Sa: 0;    So: 0     -    Wochenarbeitszeit:  40 h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01" t="s">
        <v>238</v>
      </c>
      <c r="U4" s="401"/>
      <c r="V4" s="147"/>
      <c r="W4" s="148" t="str">
        <f>"Urlaubsanspruch per 01.07."&amp;Datenblatt!$F$5</f>
        <v>Urlaubsanspruch per 01.07.2026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"&amp;IF(Datenblatt!K55=1,Datenblatt!D34,IF(Datenblatt!K55=2,Datenblatt!D35,IF(Datenblatt!K55=3,Datenblatt!D36,IF(Datenblatt!K55=4,Datenblatt!D37))))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01" t="s">
        <v>238</v>
      </c>
      <c r="U5" s="401"/>
      <c r="V5" s="147"/>
      <c r="W5" s="149" t="str">
        <f>"Resturlaub per 31.07."&amp;Datenblatt!$F$5</f>
        <v>Resturlaub per 31.07.2026</v>
      </c>
      <c r="X5" s="130" t="s">
        <v>144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408" t="s">
        <v>126</v>
      </c>
      <c r="G7" s="408"/>
      <c r="H7" s="402" t="s">
        <v>127</v>
      </c>
      <c r="I7" s="402"/>
      <c r="J7" s="402"/>
      <c r="K7" s="402"/>
      <c r="L7" s="402"/>
      <c r="M7" s="402"/>
      <c r="N7" s="403" t="s">
        <v>128</v>
      </c>
      <c r="O7" s="403"/>
      <c r="P7" s="404" t="s">
        <v>129</v>
      </c>
      <c r="Q7" s="405" t="s">
        <v>130</v>
      </c>
      <c r="R7" s="150" t="s">
        <v>131</v>
      </c>
      <c r="S7" s="409" t="s">
        <v>132</v>
      </c>
      <c r="T7" s="151" t="s">
        <v>133</v>
      </c>
      <c r="U7" s="152"/>
      <c r="V7" s="350"/>
      <c r="W7" s="406" t="s">
        <v>134</v>
      </c>
      <c r="X7" s="410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04"/>
      <c r="Q8" s="405"/>
      <c r="R8" s="158" t="s">
        <v>138</v>
      </c>
      <c r="S8" s="409"/>
      <c r="T8" s="159" t="s">
        <v>138</v>
      </c>
      <c r="U8" s="160"/>
      <c r="V8" s="351"/>
      <c r="W8" s="407"/>
      <c r="X8" s="411"/>
    </row>
    <row r="9" spans="2:128" s="161" customFormat="1" ht="12.2" customHeight="1">
      <c r="B9" s="162">
        <f>L2</f>
        <v>46204</v>
      </c>
      <c r="C9" s="163">
        <f t="shared" ref="C9:C39" si="0">B9</f>
        <v>46204</v>
      </c>
      <c r="D9" s="164">
        <f>IF(VLOOKUP($B9,Datenblatt!$A$43:$A$65,1,1)=$B9,0,VLOOKUP(WEEKDAY($B9),Datenblatt!$I$46:$K$52,3,FALSE))</f>
        <v>8</v>
      </c>
      <c r="E9" s="164">
        <f>IF(VLOOKUP($B9,Datenblatt!$A$43:$A$65,1,1)=$B9,0,IF(WEEKDAY($B9)=7,1,IF(WEEKDAY($B9)=1,0,2)))</f>
        <v>2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3" t="str">
        <f>IF(VLOOKUP($B9,Datenblatt!$A$43:$A$66,1,1)=$B9,VLOOKUP($B9,Datenblatt!$A$43:$C$66,3,FALSE)," ")</f>
        <v xml:space="preserve"> </v>
      </c>
      <c r="W9" s="414"/>
      <c r="X9" s="41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9" si="4">B9+1</f>
        <v>46205</v>
      </c>
      <c r="C10" s="163">
        <f t="shared" si="0"/>
        <v>46205</v>
      </c>
      <c r="D10" s="164">
        <f>IF(VLOOKUP($B10,Datenblatt!$A$43:$A$65,1,1)=$B10,0,VLOOKUP(WEEKDAY($B10),Datenblatt!$I$46:$K$52,3,FALSE))</f>
        <v>8</v>
      </c>
      <c r="E10" s="164">
        <f>IF(VLOOKUP($B10,Datenblatt!$A$43:$A$65,1,1)=$B10,0,IF(WEEKDAY($B10)=7,1,IF(WEEKDAY($B10)=1,0,2)))</f>
        <v>2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 xml:space="preserve"> </v>
      </c>
      <c r="W10" s="379"/>
      <c r="X10" s="380"/>
    </row>
    <row r="11" spans="2:128" ht="12.2" customHeight="1">
      <c r="B11" s="162">
        <f t="shared" si="4"/>
        <v>46206</v>
      </c>
      <c r="C11" s="163">
        <f t="shared" si="0"/>
        <v>46206</v>
      </c>
      <c r="D11" s="164">
        <f>IF(VLOOKUP($B11,Datenblatt!$A$43:$A$65,1,1)=$B11,0,VLOOKUP(WEEKDAY($B11),Datenblatt!$I$46:$K$52,3,FALSE))</f>
        <v>8</v>
      </c>
      <c r="E11" s="164">
        <f>IF(VLOOKUP($B11,Datenblatt!$A$43:$A$65,1,1)=$B11,0,IF(WEEKDAY($B11)=7,1,IF(WEEKDAY($B11)=1,0,2)))</f>
        <v>2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416" t="str">
        <f>IF(VLOOKUP($B11,Datenblatt!$A$43:$A$66,1,1)=$B11,VLOOKUP($B11,Datenblatt!$A$43:$C$66,3,FALSE)," ")</f>
        <v xml:space="preserve"> </v>
      </c>
      <c r="W11" s="417"/>
      <c r="X11" s="418"/>
      <c r="AA11" s="179"/>
    </row>
    <row r="12" spans="2:128" ht="12.2" customHeight="1">
      <c r="B12" s="162">
        <f t="shared" si="4"/>
        <v>46207</v>
      </c>
      <c r="C12" s="163">
        <f t="shared" si="0"/>
        <v>46207</v>
      </c>
      <c r="D12" s="164">
        <f>IF(VLOOKUP($B12,Datenblatt!$A$43:$A$65,1,1)=$B12,0,VLOOKUP(WEEKDAY($B12),Datenblatt!$I$46:$K$52,3,FALSE))</f>
        <v>0</v>
      </c>
      <c r="E12" s="164">
        <f>IF(VLOOKUP($B12,Datenblatt!$A$43:$A$65,1,1)=$B12,0,IF(WEEKDAY($B12)=7,1,IF(WEEKDAY($B12)=1,0,2)))</f>
        <v>1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416" t="str">
        <f>IF(VLOOKUP($B12,Datenblatt!$A$43:$A$66,1,1)=$B12,VLOOKUP($B12,Datenblatt!$A$43:$C$66,3,FALSE)," ")</f>
        <v xml:space="preserve"> </v>
      </c>
      <c r="W12" s="417"/>
      <c r="X12" s="418"/>
      <c r="AA12" s="179"/>
    </row>
    <row r="13" spans="2:128" s="161" customFormat="1" ht="12.2" customHeight="1">
      <c r="B13" s="162">
        <f t="shared" si="4"/>
        <v>46208</v>
      </c>
      <c r="C13" s="163">
        <f t="shared" si="0"/>
        <v>46208</v>
      </c>
      <c r="D13" s="164">
        <f>IF(VLOOKUP($B13,Datenblatt!$A$43:$A$65,1,1)=$B13,0,VLOOKUP(WEEKDAY($B13),Datenblatt!$I$46:$K$52,3,FALSE))</f>
        <v>0</v>
      </c>
      <c r="E13" s="164">
        <f>IF(VLOOKUP($B13,Datenblatt!$A$43:$A$65,1,1)=$B13,0,IF(WEEKDAY($B13)=7,1,IF(WEEKDAY($B13)=1,0,2)))</f>
        <v>0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416" t="str">
        <f>IF(VLOOKUP($B13,Datenblatt!$A$43:$A$66,1,1)=$B13,VLOOKUP($B13,Datenblatt!$A$43:$C$66,3,FALSE)," ")</f>
        <v xml:space="preserve"> </v>
      </c>
      <c r="W13" s="417"/>
      <c r="X13" s="418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46209</v>
      </c>
      <c r="C14" s="163">
        <f t="shared" si="0"/>
        <v>46209</v>
      </c>
      <c r="D14" s="164">
        <f>IF(VLOOKUP($B14,Datenblatt!$A$43:$A$65,1,1)=$B14,0,VLOOKUP(WEEKDAY($B14),Datenblatt!$I$46:$K$52,3,FALSE))</f>
        <v>8</v>
      </c>
      <c r="E14" s="164">
        <f>IF(VLOOKUP($B14,Datenblatt!$A$43:$A$65,1,1)=$B14,0,IF(WEEKDAY($B14)=7,1,IF(WEEKDAY($B14)=1,0,2)))</f>
        <v>2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416" t="str">
        <f>IF(VLOOKUP($B14,Datenblatt!$A$43:$A$66,1,1)=$B14,VLOOKUP($B14,Datenblatt!$A$43:$C$66,3,FALSE)," ")</f>
        <v xml:space="preserve"> </v>
      </c>
      <c r="W14" s="417"/>
      <c r="X14" s="418"/>
      <c r="AA14" s="179"/>
    </row>
    <row r="15" spans="2:128" ht="12.2" customHeight="1">
      <c r="B15" s="162">
        <f t="shared" si="4"/>
        <v>46210</v>
      </c>
      <c r="C15" s="163">
        <f t="shared" si="0"/>
        <v>46210</v>
      </c>
      <c r="D15" s="164">
        <f>IF(VLOOKUP($B15,Datenblatt!$A$43:$A$65,1,1)=$B15,0,VLOOKUP(WEEKDAY($B15),Datenblatt!$I$46:$K$52,3,FALSE))</f>
        <v>8</v>
      </c>
      <c r="E15" s="164">
        <f>IF(VLOOKUP($B15,Datenblatt!$A$43:$A$65,1,1)=$B15,0,IF(WEEKDAY($B15)=7,1,IF(WEEKDAY($B15)=1,0,2)))</f>
        <v>2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416" t="str">
        <f>IF(VLOOKUP($B15,Datenblatt!$A$43:$A$66,1,1)=$B15,VLOOKUP($B15,Datenblatt!$A$43:$C$66,3,FALSE)," ")</f>
        <v xml:space="preserve"> </v>
      </c>
      <c r="W15" s="417"/>
      <c r="X15" s="418"/>
      <c r="AA15" s="179"/>
    </row>
    <row r="16" spans="2:128" ht="12.2" customHeight="1">
      <c r="B16" s="162">
        <f t="shared" si="4"/>
        <v>46211</v>
      </c>
      <c r="C16" s="163">
        <f t="shared" si="0"/>
        <v>46211</v>
      </c>
      <c r="D16" s="164">
        <f>IF(VLOOKUP($B16,Datenblatt!$A$43:$A$65,1,1)=$B16,0,VLOOKUP(WEEKDAY($B16),Datenblatt!$I$46:$K$52,3,FALSE))</f>
        <v>8</v>
      </c>
      <c r="E16" s="164">
        <f>IF(VLOOKUP($B16,Datenblatt!$A$43:$A$65,1,1)=$B16,0,IF(WEEKDAY($B16)=7,1,IF(WEEKDAY($B16)=1,0,2)))</f>
        <v>2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416" t="str">
        <f>IF(VLOOKUP($B16,Datenblatt!$A$43:$A$66,1,1)=$B16,VLOOKUP($B16,Datenblatt!$A$43:$C$66,3,FALSE)," ")</f>
        <v xml:space="preserve"> </v>
      </c>
      <c r="W16" s="417"/>
      <c r="X16" s="418"/>
      <c r="AA16" s="179"/>
    </row>
    <row r="17" spans="2:128" ht="12.2" customHeight="1">
      <c r="B17" s="162">
        <f t="shared" si="4"/>
        <v>46212</v>
      </c>
      <c r="C17" s="163">
        <f t="shared" si="0"/>
        <v>46212</v>
      </c>
      <c r="D17" s="164">
        <f>IF(VLOOKUP($B17,Datenblatt!$A$43:$A$65,1,1)=$B17,0,VLOOKUP(WEEKDAY($B17),Datenblatt!$I$46:$K$52,3,FALSE))</f>
        <v>8</v>
      </c>
      <c r="E17" s="164">
        <f>IF(VLOOKUP($B17,Datenblatt!$A$43:$A$65,1,1)=$B17,0,IF(WEEKDAY($B17)=7,1,IF(WEEKDAY($B17)=1,0,2)))</f>
        <v>2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416" t="str">
        <f>IF(VLOOKUP($B17,Datenblatt!$A$43:$A$66,1,1)=$B17,VLOOKUP($B17,Datenblatt!$A$43:$C$66,3,FALSE)," ")</f>
        <v xml:space="preserve"> </v>
      </c>
      <c r="W17" s="417"/>
      <c r="X17" s="418"/>
      <c r="AA17" s="179"/>
    </row>
    <row r="18" spans="2:128" ht="12.2" customHeight="1">
      <c r="B18" s="162">
        <f t="shared" si="4"/>
        <v>46213</v>
      </c>
      <c r="C18" s="163">
        <f t="shared" si="0"/>
        <v>46213</v>
      </c>
      <c r="D18" s="164">
        <f>IF(VLOOKUP($B18,Datenblatt!$A$43:$A$65,1,1)=$B18,0,VLOOKUP(WEEKDAY($B18),Datenblatt!$I$46:$K$52,3,FALSE))</f>
        <v>8</v>
      </c>
      <c r="E18" s="164">
        <f>IF(VLOOKUP($B18,Datenblatt!$A$43:$A$65,1,1)=$B18,0,IF(WEEKDAY($B18)=7,1,IF(WEEKDAY($B18)=1,0,2)))</f>
        <v>2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416" t="str">
        <f>IF(VLOOKUP($B18,Datenblatt!$A$43:$A$66,1,1)=$B18,VLOOKUP($B18,Datenblatt!$A$43:$C$66,3,FALSE)," ")</f>
        <v xml:space="preserve"> </v>
      </c>
      <c r="W18" s="417"/>
      <c r="X18" s="418"/>
      <c r="AA18" s="179"/>
    </row>
    <row r="19" spans="2:128" ht="12.2" customHeight="1">
      <c r="B19" s="162">
        <f t="shared" si="4"/>
        <v>46214</v>
      </c>
      <c r="C19" s="163">
        <f t="shared" si="0"/>
        <v>46214</v>
      </c>
      <c r="D19" s="164">
        <f>IF(VLOOKUP($B19,Datenblatt!$A$43:$A$65,1,1)=$B19,0,VLOOKUP(WEEKDAY($B19),Datenblatt!$I$46:$K$52,3,FALSE))</f>
        <v>0</v>
      </c>
      <c r="E19" s="164">
        <f>IF(VLOOKUP($B19,Datenblatt!$A$43:$A$65,1,1)=$B19,0,IF(WEEKDAY($B19)=7,1,IF(WEEKDAY($B19)=1,0,2)))</f>
        <v>1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416" t="str">
        <f>IF(VLOOKUP($B19,Datenblatt!$A$43:$A$66,1,1)=$B19,VLOOKUP($B19,Datenblatt!$A$43:$C$66,3,FALSE)," ")</f>
        <v xml:space="preserve"> </v>
      </c>
      <c r="W19" s="417"/>
      <c r="X19" s="418"/>
      <c r="AA19" s="179"/>
    </row>
    <row r="20" spans="2:128" ht="12.2" customHeight="1">
      <c r="B20" s="162">
        <f t="shared" si="4"/>
        <v>46215</v>
      </c>
      <c r="C20" s="163">
        <f t="shared" si="0"/>
        <v>46215</v>
      </c>
      <c r="D20" s="164">
        <f>IF(VLOOKUP($B20,Datenblatt!$A$43:$A$65,1,1)=$B20,0,VLOOKUP(WEEKDAY($B20),Datenblatt!$I$46:$K$52,3,FALSE))</f>
        <v>0</v>
      </c>
      <c r="E20" s="164">
        <f>IF(VLOOKUP($B20,Datenblatt!$A$43:$A$65,1,1)=$B20,0,IF(WEEKDAY($B20)=7,1,IF(WEEKDAY($B20)=1,0,2)))</f>
        <v>0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416" t="str">
        <f>IF(VLOOKUP($B20,Datenblatt!$A$43:$A$66,1,1)=$B20,VLOOKUP($B20,Datenblatt!$A$43:$C$66,3,FALSE)," ")</f>
        <v xml:space="preserve"> </v>
      </c>
      <c r="W20" s="417"/>
      <c r="X20" s="418"/>
      <c r="AA20" s="179"/>
    </row>
    <row r="21" spans="2:128" ht="12.2" customHeight="1">
      <c r="B21" s="162">
        <f t="shared" si="4"/>
        <v>46216</v>
      </c>
      <c r="C21" s="163">
        <f t="shared" si="0"/>
        <v>46216</v>
      </c>
      <c r="D21" s="164">
        <f>IF(VLOOKUP($B21,Datenblatt!$A$43:$A$65,1,1)=$B21,0,VLOOKUP(WEEKDAY($B21),Datenblatt!$I$46:$K$52,3,FALSE))</f>
        <v>8</v>
      </c>
      <c r="E21" s="164">
        <f>IF(VLOOKUP($B21,Datenblatt!$A$43:$A$65,1,1)=$B21,0,IF(WEEKDAY($B21)=7,1,IF(WEEKDAY($B21)=1,0,2)))</f>
        <v>2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416" t="str">
        <f>IF(VLOOKUP($B21,Datenblatt!$A$43:$A$66,1,1)=$B21,VLOOKUP($B21,Datenblatt!$A$43:$C$66,3,FALSE)," ")</f>
        <v xml:space="preserve"> </v>
      </c>
      <c r="W21" s="417"/>
      <c r="X21" s="418"/>
      <c r="AA21" s="179"/>
    </row>
    <row r="22" spans="2:128" s="180" customFormat="1" ht="12.2" customHeight="1">
      <c r="B22" s="162">
        <f t="shared" si="4"/>
        <v>46217</v>
      </c>
      <c r="C22" s="163">
        <f t="shared" si="0"/>
        <v>46217</v>
      </c>
      <c r="D22" s="164">
        <f>IF(VLOOKUP($B22,Datenblatt!$A$43:$A$65,1,1)=$B22,0,VLOOKUP(WEEKDAY($B22),Datenblatt!$I$46:$K$52,3,FALSE))</f>
        <v>8</v>
      </c>
      <c r="E22" s="164">
        <f>IF(VLOOKUP($B22,Datenblatt!$A$43:$A$65,1,1)=$B22,0,IF(WEEKDAY($B22)=7,1,IF(WEEKDAY($B22)=1,0,2)))</f>
        <v>2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416" t="str">
        <f>IF(VLOOKUP($B22,Datenblatt!$A$43:$A$66,1,1)=$B22,VLOOKUP($B22,Datenblatt!$A$43:$C$66,3,FALSE)," ")</f>
        <v xml:space="preserve"> </v>
      </c>
      <c r="W22" s="417"/>
      <c r="X22" s="418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46218</v>
      </c>
      <c r="C23" s="163">
        <f t="shared" si="0"/>
        <v>46218</v>
      </c>
      <c r="D23" s="164">
        <f>IF(VLOOKUP($B23,Datenblatt!$A$43:$A$65,1,1)=$B23,0,VLOOKUP(WEEKDAY($B23),Datenblatt!$I$46:$K$52,3,FALSE))</f>
        <v>8</v>
      </c>
      <c r="E23" s="164">
        <f>IF(VLOOKUP($B23,Datenblatt!$A$43:$A$65,1,1)=$B23,0,IF(WEEKDAY($B23)=7,1,IF(WEEKDAY($B23)=1,0,2)))</f>
        <v>2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416" t="str">
        <f>IF(VLOOKUP($B23,Datenblatt!$A$43:$A$66,1,1)=$B23,VLOOKUP($B23,Datenblatt!$A$43:$C$66,3,FALSE)," ")</f>
        <v xml:space="preserve"> </v>
      </c>
      <c r="W23" s="417"/>
      <c r="X23" s="418"/>
      <c r="AA23" s="179"/>
    </row>
    <row r="24" spans="2:128" ht="12.2" customHeight="1">
      <c r="B24" s="162">
        <f t="shared" si="4"/>
        <v>46219</v>
      </c>
      <c r="C24" s="163">
        <f t="shared" si="0"/>
        <v>46219</v>
      </c>
      <c r="D24" s="164">
        <f>IF(VLOOKUP($B24,Datenblatt!$A$43:$A$65,1,1)=$B24,0,VLOOKUP(WEEKDAY($B24),Datenblatt!$I$46:$K$52,3,FALSE))</f>
        <v>8</v>
      </c>
      <c r="E24" s="164">
        <f>IF(VLOOKUP($B24,Datenblatt!$A$43:$A$65,1,1)=$B24,0,IF(WEEKDAY($B24)=7,1,IF(WEEKDAY($B24)=1,0,2)))</f>
        <v>2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416" t="str">
        <f>IF(VLOOKUP($B24,Datenblatt!$A$43:$A$66,1,1)=$B24,VLOOKUP($B24,Datenblatt!$A$43:$C$66,3,FALSE)," ")</f>
        <v xml:space="preserve"> </v>
      </c>
      <c r="W24" s="417"/>
      <c r="X24" s="418"/>
      <c r="AA24" s="179"/>
    </row>
    <row r="25" spans="2:128" ht="12.2" customHeight="1">
      <c r="B25" s="162">
        <f t="shared" si="4"/>
        <v>46220</v>
      </c>
      <c r="C25" s="163">
        <f t="shared" si="0"/>
        <v>46220</v>
      </c>
      <c r="D25" s="164">
        <f>IF(VLOOKUP($B25,Datenblatt!$A$43:$A$65,1,1)=$B25,0,VLOOKUP(WEEKDAY($B25),Datenblatt!$I$46:$K$52,3,FALSE))</f>
        <v>8</v>
      </c>
      <c r="E25" s="164">
        <f>IF(VLOOKUP($B25,Datenblatt!$A$43:$A$65,1,1)=$B25,0,IF(WEEKDAY($B25)=7,1,IF(WEEKDAY($B25)=1,0,2)))</f>
        <v>2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416" t="str">
        <f>IF(VLOOKUP($B25,Datenblatt!$A$43:$A$66,1,1)=$B25,VLOOKUP($B25,Datenblatt!$A$43:$C$66,3,FALSE)," ")</f>
        <v xml:space="preserve"> </v>
      </c>
      <c r="W25" s="417"/>
      <c r="X25" s="418"/>
      <c r="AA25" s="179"/>
    </row>
    <row r="26" spans="2:128" ht="12.2" customHeight="1">
      <c r="B26" s="162">
        <f t="shared" si="4"/>
        <v>46221</v>
      </c>
      <c r="C26" s="163">
        <f t="shared" si="0"/>
        <v>46221</v>
      </c>
      <c r="D26" s="164">
        <f>IF(VLOOKUP($B26,Datenblatt!$A$43:$A$65,1,1)=$B26,0,VLOOKUP(WEEKDAY($B26),Datenblatt!$I$46:$K$52,3,FALSE))</f>
        <v>0</v>
      </c>
      <c r="E26" s="164">
        <f>IF(VLOOKUP($B26,Datenblatt!$A$43:$A$65,1,1)=$B26,0,IF(WEEKDAY($B26)=7,1,IF(WEEKDAY($B26)=1,0,2)))</f>
        <v>1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416" t="str">
        <f>IF(VLOOKUP($B26,Datenblatt!$A$43:$A$66,1,1)=$B26,VLOOKUP($B26,Datenblatt!$A$43:$C$66,3,FALSE)," ")</f>
        <v xml:space="preserve"> </v>
      </c>
      <c r="W26" s="417"/>
      <c r="X26" s="418"/>
      <c r="AA26" s="179"/>
    </row>
    <row r="27" spans="2:128" ht="12.2" customHeight="1">
      <c r="B27" s="162">
        <f t="shared" si="4"/>
        <v>46222</v>
      </c>
      <c r="C27" s="163">
        <f t="shared" si="0"/>
        <v>46222</v>
      </c>
      <c r="D27" s="164">
        <f>IF(VLOOKUP($B27,Datenblatt!$A$43:$A$65,1,1)=$B27,0,VLOOKUP(WEEKDAY($B27),Datenblatt!$I$46:$K$52,3,FALSE))</f>
        <v>0</v>
      </c>
      <c r="E27" s="164">
        <f>IF(VLOOKUP($B27,Datenblatt!$A$43:$A$65,1,1)=$B27,0,IF(WEEKDAY($B27)=7,1,IF(WEEKDAY($B27)=1,0,2)))</f>
        <v>0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416" t="str">
        <f>IF(VLOOKUP($B27,Datenblatt!$A$43:$A$66,1,1)=$B27,VLOOKUP($B27,Datenblatt!$A$43:$C$66,3,FALSE)," ")</f>
        <v xml:space="preserve"> </v>
      </c>
      <c r="W27" s="417"/>
      <c r="X27" s="418"/>
      <c r="AA27" s="179"/>
    </row>
    <row r="28" spans="2:128" ht="12.2" customHeight="1">
      <c r="B28" s="162">
        <f t="shared" si="4"/>
        <v>46223</v>
      </c>
      <c r="C28" s="163">
        <f t="shared" si="0"/>
        <v>46223</v>
      </c>
      <c r="D28" s="164">
        <f>IF(VLOOKUP($B28,Datenblatt!$A$43:$A$65,1,1)=$B28,0,VLOOKUP(WEEKDAY($B28),Datenblatt!$I$46:$K$52,3,FALSE))</f>
        <v>8</v>
      </c>
      <c r="E28" s="164">
        <f>IF(VLOOKUP($B28,Datenblatt!$A$43:$A$65,1,1)=$B28,0,IF(WEEKDAY($B28)=7,1,IF(WEEKDAY($B28)=1,0,2)))</f>
        <v>2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416" t="str">
        <f>IF(VLOOKUP($B28,Datenblatt!$A$43:$A$66,1,1)=$B28,VLOOKUP($B28,Datenblatt!$A$43:$C$66,3,FALSE)," ")</f>
        <v xml:space="preserve"> </v>
      </c>
      <c r="W28" s="417"/>
      <c r="X28" s="418"/>
      <c r="AA28" s="179"/>
    </row>
    <row r="29" spans="2:128" ht="12.2" customHeight="1">
      <c r="B29" s="162">
        <f t="shared" si="4"/>
        <v>46224</v>
      </c>
      <c r="C29" s="163">
        <f t="shared" si="0"/>
        <v>46224</v>
      </c>
      <c r="D29" s="164">
        <f>IF(VLOOKUP($B29,Datenblatt!$A$43:$A$65,1,1)=$B29,0,VLOOKUP(WEEKDAY($B29),Datenblatt!$I$46:$K$52,3,FALSE))</f>
        <v>8</v>
      </c>
      <c r="E29" s="164">
        <f>IF(VLOOKUP($B29,Datenblatt!$A$43:$A$65,1,1)=$B29,0,IF(WEEKDAY($B29)=7,1,IF(WEEKDAY($B29)=1,0,2)))</f>
        <v>2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416" t="str">
        <f>IF(VLOOKUP($B29,Datenblatt!$A$43:$A$66,1,1)=$B29,VLOOKUP($B29,Datenblatt!$A$43:$C$66,3,FALSE)," ")</f>
        <v xml:space="preserve"> </v>
      </c>
      <c r="W29" s="417"/>
      <c r="X29" s="418"/>
      <c r="AA29" s="179"/>
    </row>
    <row r="30" spans="2:128" ht="12.2" customHeight="1">
      <c r="B30" s="162">
        <f t="shared" si="4"/>
        <v>46225</v>
      </c>
      <c r="C30" s="163">
        <f t="shared" si="0"/>
        <v>46225</v>
      </c>
      <c r="D30" s="164">
        <f>IF(VLOOKUP($B30,Datenblatt!$A$43:$A$65,1,1)=$B30,0,VLOOKUP(WEEKDAY($B30),Datenblatt!$I$46:$K$52,3,FALSE))</f>
        <v>8</v>
      </c>
      <c r="E30" s="164">
        <f>IF(VLOOKUP($B30,Datenblatt!$A$43:$A$65,1,1)=$B30,0,IF(WEEKDAY($B30)=7,1,IF(WEEKDAY($B30)=1,0,2)))</f>
        <v>2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416" t="str">
        <f>IF(VLOOKUP($B30,Datenblatt!$A$43:$A$66,1,1)=$B30,VLOOKUP($B30,Datenblatt!$A$43:$C$66,3,FALSE)," ")</f>
        <v xml:space="preserve"> </v>
      </c>
      <c r="W30" s="417"/>
      <c r="X30" s="418"/>
      <c r="AA30" s="179"/>
    </row>
    <row r="31" spans="2:128" ht="12.2" customHeight="1">
      <c r="B31" s="162">
        <f t="shared" si="4"/>
        <v>46226</v>
      </c>
      <c r="C31" s="163">
        <f t="shared" si="0"/>
        <v>46226</v>
      </c>
      <c r="D31" s="164">
        <f>IF(VLOOKUP($B31,Datenblatt!$A$43:$A$65,1,1)=$B31,0,VLOOKUP(WEEKDAY($B31),Datenblatt!$I$46:$K$52,3,FALSE))</f>
        <v>8</v>
      </c>
      <c r="E31" s="164">
        <f>IF(VLOOKUP($B31,Datenblatt!$A$43:$A$65,1,1)=$B31,0,IF(WEEKDAY($B31)=7,1,IF(WEEKDAY($B31)=1,0,2)))</f>
        <v>2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416" t="str">
        <f>IF(VLOOKUP($B31,Datenblatt!$A$43:$A$66,1,1)=$B31,VLOOKUP($B31,Datenblatt!$A$43:$C$66,3,FALSE)," ")</f>
        <v xml:space="preserve"> </v>
      </c>
      <c r="W31" s="417"/>
      <c r="X31" s="418"/>
      <c r="AA31" s="179"/>
    </row>
    <row r="32" spans="2:128" ht="12.2" customHeight="1">
      <c r="B32" s="162">
        <f t="shared" si="4"/>
        <v>46227</v>
      </c>
      <c r="C32" s="163">
        <f t="shared" si="0"/>
        <v>46227</v>
      </c>
      <c r="D32" s="164">
        <f>IF(VLOOKUP($B32,Datenblatt!$A$43:$A$65,1,1)=$B32,0,VLOOKUP(WEEKDAY($B32),Datenblatt!$I$46:$K$52,3,FALSE))</f>
        <v>8</v>
      </c>
      <c r="E32" s="164">
        <f>IF(VLOOKUP($B32,Datenblatt!$A$43:$A$65,1,1)=$B32,0,IF(WEEKDAY($B32)=7,1,IF(WEEKDAY($B32)=1,0,2)))</f>
        <v>2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416" t="str">
        <f>IF(VLOOKUP($B32,Datenblatt!$A$43:$A$66,1,1)=$B32,VLOOKUP($B32,Datenblatt!$A$43:$C$66,3,FALSE)," ")</f>
        <v xml:space="preserve"> </v>
      </c>
      <c r="W32" s="417"/>
      <c r="X32" s="418"/>
      <c r="AA32" s="179"/>
    </row>
    <row r="33" spans="2:128" ht="12.2" customHeight="1">
      <c r="B33" s="162">
        <f t="shared" si="4"/>
        <v>46228</v>
      </c>
      <c r="C33" s="163">
        <f t="shared" si="0"/>
        <v>46228</v>
      </c>
      <c r="D33" s="164">
        <f>IF(VLOOKUP($B33,Datenblatt!$A$43:$A$65,1,1)=$B33,0,VLOOKUP(WEEKDAY($B33),Datenblatt!$I$46:$K$52,3,FALSE))</f>
        <v>0</v>
      </c>
      <c r="E33" s="164">
        <f>IF(VLOOKUP($B33,Datenblatt!$A$43:$A$65,1,1)=$B33,0,IF(WEEKDAY($B33)=7,1,IF(WEEKDAY($B33)=1,0,2)))</f>
        <v>1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416" t="str">
        <f>IF(VLOOKUP($B33,Datenblatt!$A$43:$A$66,1,1)=$B33,VLOOKUP($B33,Datenblatt!$A$43:$C$66,3,FALSE)," ")</f>
        <v xml:space="preserve"> </v>
      </c>
      <c r="W33" s="417"/>
      <c r="X33" s="418"/>
      <c r="AA33" s="179"/>
    </row>
    <row r="34" spans="2:128" ht="12.2" customHeight="1">
      <c r="B34" s="162">
        <f t="shared" si="4"/>
        <v>46229</v>
      </c>
      <c r="C34" s="163">
        <f t="shared" si="0"/>
        <v>46229</v>
      </c>
      <c r="D34" s="164">
        <f>IF(VLOOKUP($B34,Datenblatt!$A$43:$A$65,1,1)=$B34,0,VLOOKUP(WEEKDAY($B34),Datenblatt!$I$46:$K$52,3,FALSE))</f>
        <v>0</v>
      </c>
      <c r="E34" s="164">
        <f>IF(VLOOKUP($B34,Datenblatt!$A$43:$A$65,1,1)=$B34,0,IF(WEEKDAY($B34)=7,1,IF(WEEKDAY($B34)=1,0,2)))</f>
        <v>0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416" t="str">
        <f>IF(VLOOKUP($B34,Datenblatt!$A$43:$A$66,1,1)=$B34,VLOOKUP($B34,Datenblatt!$A$43:$C$66,3,FALSE)," ")</f>
        <v xml:space="preserve"> </v>
      </c>
      <c r="W34" s="417"/>
      <c r="X34" s="418"/>
      <c r="AA34" s="179"/>
    </row>
    <row r="35" spans="2:128" ht="12.2" customHeight="1">
      <c r="B35" s="162">
        <f t="shared" si="4"/>
        <v>46230</v>
      </c>
      <c r="C35" s="163">
        <f t="shared" si="0"/>
        <v>46230</v>
      </c>
      <c r="D35" s="164">
        <f>IF(VLOOKUP($B35,Datenblatt!$A$43:$A$65,1,1)=$B35,0,VLOOKUP(WEEKDAY($B35),Datenblatt!$I$46:$K$52,3,FALSE))</f>
        <v>8</v>
      </c>
      <c r="E35" s="164">
        <f>IF(VLOOKUP($B35,Datenblatt!$A$43:$A$65,1,1)=$B35,0,IF(WEEKDAY($B35)=7,1,IF(WEEKDAY($B35)=1,0,2)))</f>
        <v>2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416" t="str">
        <f>IF(VLOOKUP($B35,Datenblatt!$A$43:$A$66,1,1)=$B35,VLOOKUP($B35,Datenblatt!$A$43:$C$66,3,FALSE)," ")</f>
        <v xml:space="preserve"> </v>
      </c>
      <c r="W35" s="417"/>
      <c r="X35" s="418"/>
      <c r="AA35" s="179"/>
    </row>
    <row r="36" spans="2:128" ht="12.2" customHeight="1">
      <c r="B36" s="162">
        <f t="shared" si="4"/>
        <v>46231</v>
      </c>
      <c r="C36" s="163">
        <f t="shared" si="0"/>
        <v>46231</v>
      </c>
      <c r="D36" s="164">
        <f>IF(VLOOKUP($B36,Datenblatt!$A$43:$A$65,1,1)=$B36,0,VLOOKUP(WEEKDAY($B36),Datenblatt!$I$46:$K$52,3,FALSE))</f>
        <v>8</v>
      </c>
      <c r="E36" s="164">
        <f>IF(VLOOKUP($B36,Datenblatt!$A$43:$A$65,1,1)=$B36,0,IF(WEEKDAY($B36)=7,1,IF(WEEKDAY($B36)=1,0,2)))</f>
        <v>2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416" t="str">
        <f>IF(VLOOKUP($B36,Datenblatt!$A$43:$A$66,1,1)=$B36,VLOOKUP($B36,Datenblatt!$A$43:$C$66,3,FALSE)," ")</f>
        <v xml:space="preserve"> </v>
      </c>
      <c r="W36" s="417"/>
      <c r="X36" s="418"/>
      <c r="AA36" s="179"/>
    </row>
    <row r="37" spans="2:128" ht="12.2" customHeight="1">
      <c r="B37" s="162">
        <f t="shared" si="4"/>
        <v>46232</v>
      </c>
      <c r="C37" s="163">
        <f t="shared" si="0"/>
        <v>46232</v>
      </c>
      <c r="D37" s="164">
        <f>IF(VLOOKUP($B37,Datenblatt!$A$43:$A$65,1,1)=$B37,0,VLOOKUP(WEEKDAY($B37),Datenblatt!$I$46:$K$52,3,FALSE))</f>
        <v>8</v>
      </c>
      <c r="E37" s="164">
        <f>IF(VLOOKUP($B37,Datenblatt!$A$43:$A$65,1,1)=$B37,0,IF(WEEKDAY($B37)=7,1,IF(WEEKDAY($B37)=1,0,2)))</f>
        <v>2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416" t="str">
        <f>IF(VLOOKUP($B37,Datenblatt!$A$43:$A$66,1,1)=$B37,VLOOKUP($B37,Datenblatt!$A$43:$C$66,3,FALSE)," ")</f>
        <v xml:space="preserve"> </v>
      </c>
      <c r="W37" s="417"/>
      <c r="X37" s="418"/>
      <c r="AA37" s="179"/>
    </row>
    <row r="38" spans="2:128" ht="12.2" customHeight="1">
      <c r="B38" s="162">
        <f t="shared" si="4"/>
        <v>46233</v>
      </c>
      <c r="C38" s="163">
        <f t="shared" si="0"/>
        <v>46233</v>
      </c>
      <c r="D38" s="164">
        <f>IF(VLOOKUP($B38,Datenblatt!$A$43:$A$65,1,1)=$B38,0,VLOOKUP(WEEKDAY($B38),Datenblatt!$I$46:$K$52,3,FALSE))</f>
        <v>8</v>
      </c>
      <c r="E38" s="164">
        <f>IF(VLOOKUP($B38,Datenblatt!$A$43:$A$65,1,1)=$B38,0,IF(WEEKDAY($B38)=7,1,IF(WEEKDAY($B38)=1,0,2)))</f>
        <v>2</v>
      </c>
      <c r="F38" s="165"/>
      <c r="G38" s="166"/>
      <c r="H38" s="167"/>
      <c r="I38" s="168"/>
      <c r="J38" s="167"/>
      <c r="K38" s="168"/>
      <c r="L38" s="167"/>
      <c r="M38" s="169"/>
      <c r="N38" s="170"/>
      <c r="O38" s="170"/>
      <c r="P38" s="171"/>
      <c r="Q38" s="172"/>
      <c r="R38" s="173" t="str">
        <f t="shared" si="1"/>
        <v/>
      </c>
      <c r="S38" s="174" t="str">
        <f t="shared" si="2"/>
        <v/>
      </c>
      <c r="T38" s="175" t="str">
        <f t="shared" si="3"/>
        <v/>
      </c>
      <c r="U38" s="176"/>
      <c r="V38" s="416" t="str">
        <f>IF(VLOOKUP($B38,Datenblatt!$A$43:$A$66,1,1)=$B38,VLOOKUP($B38,Datenblatt!$A$43:$C$66,3,FALSE)," ")</f>
        <v xml:space="preserve"> </v>
      </c>
      <c r="W38" s="417"/>
      <c r="X38" s="418"/>
      <c r="AA38" s="179"/>
    </row>
    <row r="39" spans="2:128" ht="12.2" customHeight="1" thickBot="1">
      <c r="B39" s="162">
        <f t="shared" si="4"/>
        <v>46234</v>
      </c>
      <c r="C39" s="163">
        <f t="shared" si="0"/>
        <v>46234</v>
      </c>
      <c r="D39" s="164">
        <f>IF(VLOOKUP($B39,Datenblatt!$A$43:$A$65,1,1)=$B39,0,VLOOKUP(WEEKDAY($B39),Datenblatt!$I$46:$K$52,3,FALSE))</f>
        <v>8</v>
      </c>
      <c r="E39" s="164">
        <f>IF(VLOOKUP($B39,Datenblatt!$A$43:$A$65,1,1)=$B39,0,IF(WEEKDAY($B39)=7,1,IF(WEEKDAY($B39)=1,0,2)))</f>
        <v>2</v>
      </c>
      <c r="F39" s="165"/>
      <c r="G39" s="166"/>
      <c r="H39" s="167"/>
      <c r="I39" s="168"/>
      <c r="J39" s="167"/>
      <c r="K39" s="168"/>
      <c r="L39" s="167"/>
      <c r="M39" s="169"/>
      <c r="N39" s="170"/>
      <c r="O39" s="170"/>
      <c r="P39" s="171"/>
      <c r="Q39" s="172"/>
      <c r="R39" s="173" t="str">
        <f t="shared" si="1"/>
        <v/>
      </c>
      <c r="S39" s="174" t="str">
        <f t="shared" si="2"/>
        <v/>
      </c>
      <c r="T39" s="175" t="str">
        <f t="shared" si="3"/>
        <v/>
      </c>
      <c r="U39" s="176"/>
      <c r="V39" s="424" t="str">
        <f>IF(VLOOKUP($B39,Datenblatt!$A$43:$A$66,1,1)=$B39,VLOOKUP($B39,Datenblatt!$A$43:$C$66,3,FALSE)," ")</f>
        <v xml:space="preserve"> </v>
      </c>
      <c r="W39" s="425"/>
      <c r="X39" s="426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412"/>
      <c r="X40" s="41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23  Arbeitstage in diesem Monat</v>
      </c>
      <c r="C41" s="190"/>
      <c r="D41" s="215"/>
      <c r="E41" s="215"/>
      <c r="F41" s="215"/>
      <c r="G41" s="216"/>
      <c r="H41" s="215"/>
      <c r="I41" s="66"/>
      <c r="J41" s="66"/>
      <c r="K41" s="66"/>
      <c r="L41" s="66"/>
      <c r="M41" s="24" t="str">
        <f>"Sollstunden für Juli "&amp;Datenblatt!$F$5&amp;":"</f>
        <v>Sollstunden für Juli 2026:</v>
      </c>
      <c r="N41" s="66"/>
      <c r="O41" s="66"/>
      <c r="P41" s="194"/>
      <c r="R41" s="195"/>
      <c r="S41" s="398">
        <f>SUM(D9:D39)</f>
        <v>184</v>
      </c>
      <c r="T41" s="398"/>
      <c r="U41" s="196"/>
      <c r="V41" s="196"/>
      <c r="W41" s="197"/>
      <c r="X41" s="130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20" t="s">
        <v>239</v>
      </c>
      <c r="J42" s="420"/>
      <c r="K42" s="198"/>
      <c r="M42" s="198" t="str">
        <f>IF(S42&gt;=0,"Zeitguthaben im Monat Juli "&amp;Datenblatt!F5&amp;":   ","Zeitdefizit im Monat Juli "&amp;Datenblatt!F5&amp;":   ")</f>
        <v xml:space="preserve">Zeitguthaben im Monat Juli 2026:   </v>
      </c>
      <c r="N42" s="198"/>
      <c r="O42" s="198"/>
      <c r="R42" s="199"/>
      <c r="S42" s="421" t="s">
        <v>239</v>
      </c>
      <c r="T42" s="421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Juni "&amp;Datenblatt!F5-1&amp;":   ","  - Zeitdefizit aus Juni "&amp;Datenblatt!F5&amp;":   ")</f>
        <v xml:space="preserve">  + Zeitguthaben aus Juni 2025:   </v>
      </c>
      <c r="S43" s="427" t="str">
        <f>Jän!S44</f>
        <v>________ h</v>
      </c>
      <c r="T43" s="427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198" t="str">
        <f>"Übertrag für August "&amp;Datenblatt!F5</f>
        <v>Übertrag für August 2026</v>
      </c>
      <c r="R44" s="204"/>
      <c r="S44" s="423" t="s">
        <v>239</v>
      </c>
      <c r="T44" s="423"/>
      <c r="U44" s="200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19">
        <f ca="1">TODAY()</f>
        <v>45935</v>
      </c>
      <c r="H45" s="419"/>
      <c r="I45" s="419"/>
      <c r="T45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G45:I45"/>
    <mergeCell ref="I42:J42"/>
    <mergeCell ref="S42:T42"/>
    <mergeCell ref="S43:T43"/>
    <mergeCell ref="S44:T44"/>
    <mergeCell ref="W7:W8"/>
    <mergeCell ref="F7:G7"/>
    <mergeCell ref="S7:S8"/>
    <mergeCell ref="X7:X8"/>
    <mergeCell ref="W40:X40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S41:T41"/>
    <mergeCell ref="L2:P2"/>
    <mergeCell ref="T4:U4"/>
    <mergeCell ref="T5:U5"/>
    <mergeCell ref="H7:M7"/>
    <mergeCell ref="N7:O7"/>
    <mergeCell ref="P7:P8"/>
    <mergeCell ref="Q7:Q8"/>
  </mergeCells>
  <phoneticPr fontId="2" type="noConversion"/>
  <conditionalFormatting sqref="A15 DY15:IV15">
    <cfRule type="cellIs" dxfId="40" priority="1" stopIfTrue="1" operator="equal">
      <formula>MATCH($E15,0)</formula>
    </cfRule>
    <cfRule type="expression" dxfId="39" priority="2" stopIfTrue="1">
      <formula>"WOCHENTAG($B8)=1"</formula>
    </cfRule>
    <cfRule type="expression" dxfId="38" priority="3" stopIfTrue="1">
      <formula>"WOCHENTAG($B8)=7"</formula>
    </cfRule>
  </conditionalFormatting>
  <conditionalFormatting sqref="B9:C39">
    <cfRule type="expression" dxfId="37" priority="8" stopIfTrue="1">
      <formula>($E9=1)</formula>
    </cfRule>
  </conditionalFormatting>
  <conditionalFormatting sqref="V9 B9:T39 V10:X10 V11:V39">
    <cfRule type="expression" dxfId="36" priority="4" stopIfTrue="1">
      <formula>($E9=0)</formula>
    </cfRule>
    <cfRule type="expression" dxfId="35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DX48"/>
  <sheetViews>
    <sheetView showGridLines="0" workbookViewId="0">
      <pane ySplit="8" topLeftCell="A9" activePane="bottomLeft" state="frozen"/>
      <selection activeCell="V13" sqref="V13:X13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140625" style="94" customWidth="1"/>
    <col min="4" max="4" width="0.28515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399">
        <f>DATE(Datenblatt!F5,8,1)</f>
        <v>46235</v>
      </c>
      <c r="M2" s="399"/>
      <c r="N2" s="399"/>
      <c r="O2" s="399"/>
      <c r="P2" s="399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"&amp;Datenblatt!$N$46&amp;";"&amp;"    Di: "&amp;Datenblatt!$N$47&amp;";"&amp;"    Mi: "&amp;Datenblatt!$N$48&amp;";"&amp;"    Do: "&amp;Datenblatt!$N$49&amp;";"&amp;"    Fr: "&amp;Datenblatt!$N$50&amp;";"&amp;"    Sa: "&amp;Datenblatt!$N$51&amp;";"&amp;"    So: "&amp;Datenblatt!$N$52&amp;""&amp;"     -    Wochenarbeitszeit:  "&amp;Datenblatt!$N$53&amp;" h"</f>
        <v>Arbeitsstunden/Tag:  Mo: 8;    Di: 8;    Mi: 8;    Do: 8;    Fr: 8;    Sa: 0;    So: 0     -    Wochenarbeitszeit:  40 h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01" t="s">
        <v>238</v>
      </c>
      <c r="U4" s="401"/>
      <c r="V4" s="147"/>
      <c r="W4" s="148" t="str">
        <f>"Urlaubsanspruch per 01.08."&amp;Datenblatt!$F$5</f>
        <v>Urlaubsanspruch per 01.08.2026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"&amp;IF(Datenblatt!N55=1,Datenblatt!D34,IF(Datenblatt!N55=2,Datenblatt!D35,IF(Datenblatt!N55=3,Datenblatt!D36,IF(Datenblatt!N55=4,Datenblatt!D37))))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01" t="s">
        <v>238</v>
      </c>
      <c r="U5" s="401"/>
      <c r="V5" s="147"/>
      <c r="W5" s="149" t="str">
        <f>"Resturlaub per 31.08."&amp;Datenblatt!$F$5</f>
        <v>Resturlaub per 31.08.2026</v>
      </c>
      <c r="X5" s="130" t="s">
        <v>144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408" t="s">
        <v>126</v>
      </c>
      <c r="G7" s="408"/>
      <c r="H7" s="402" t="s">
        <v>127</v>
      </c>
      <c r="I7" s="402"/>
      <c r="J7" s="402"/>
      <c r="K7" s="402"/>
      <c r="L7" s="402"/>
      <c r="M7" s="402"/>
      <c r="N7" s="403" t="s">
        <v>128</v>
      </c>
      <c r="O7" s="403"/>
      <c r="P7" s="404" t="s">
        <v>129</v>
      </c>
      <c r="Q7" s="405" t="s">
        <v>130</v>
      </c>
      <c r="R7" s="150" t="s">
        <v>131</v>
      </c>
      <c r="S7" s="409" t="s">
        <v>132</v>
      </c>
      <c r="T7" s="151" t="s">
        <v>133</v>
      </c>
      <c r="U7" s="152"/>
      <c r="V7" s="350"/>
      <c r="W7" s="406" t="s">
        <v>134</v>
      </c>
      <c r="X7" s="410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04"/>
      <c r="Q8" s="405"/>
      <c r="R8" s="158" t="s">
        <v>138</v>
      </c>
      <c r="S8" s="409"/>
      <c r="T8" s="159" t="s">
        <v>138</v>
      </c>
      <c r="U8" s="160"/>
      <c r="V8" s="351"/>
      <c r="W8" s="407"/>
      <c r="X8" s="411"/>
    </row>
    <row r="9" spans="2:128" s="161" customFormat="1" ht="12.2" customHeight="1">
      <c r="B9" s="162">
        <f>L2</f>
        <v>46235</v>
      </c>
      <c r="C9" s="163">
        <f t="shared" ref="C9:C39" si="0">B9</f>
        <v>46235</v>
      </c>
      <c r="D9" s="164">
        <f>IF(VLOOKUP($B9,Datenblatt!$A$43:$A$65,1,1)=$B9,0,VLOOKUP(WEEKDAY($B9),Datenblatt!$L$46:$N$52,3,FALSE))</f>
        <v>0</v>
      </c>
      <c r="E9" s="164">
        <f>IF(VLOOKUP($B9,Datenblatt!$A$43:$A$65,1,1)=$B9,0,IF(WEEKDAY($B9)=7,1,IF(WEEKDAY($B9)=1,0,2)))</f>
        <v>1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3" t="str">
        <f>IF(VLOOKUP($B9,Datenblatt!$A$43:$A$66,1,1)=$B9,VLOOKUP($B9,Datenblatt!$A$43:$C$66,3,FALSE)," ")</f>
        <v xml:space="preserve"> </v>
      </c>
      <c r="W9" s="414"/>
      <c r="X9" s="41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9" si="4">B9+1</f>
        <v>46236</v>
      </c>
      <c r="C10" s="163">
        <f t="shared" si="0"/>
        <v>46236</v>
      </c>
      <c r="D10" s="164">
        <f>IF(VLOOKUP($B10,Datenblatt!$A$43:$A$65,1,1)=$B10,0,VLOOKUP(WEEKDAY($B10),Datenblatt!$L$46:$N$52,3,FALSE))</f>
        <v>0</v>
      </c>
      <c r="E10" s="164">
        <f>IF(VLOOKUP($B10,Datenblatt!$A$43:$A$65,1,1)=$B10,0,IF(WEEKDAY($B10)=7,1,IF(WEEKDAY($B10)=1,0,2)))</f>
        <v>0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 xml:space="preserve"> </v>
      </c>
      <c r="W10" s="379"/>
      <c r="X10" s="380"/>
    </row>
    <row r="11" spans="2:128" ht="12.2" customHeight="1">
      <c r="B11" s="162">
        <f t="shared" si="4"/>
        <v>46237</v>
      </c>
      <c r="C11" s="163">
        <f t="shared" si="0"/>
        <v>46237</v>
      </c>
      <c r="D11" s="164">
        <f>IF(VLOOKUP($B11,Datenblatt!$A$43:$A$65,1,1)=$B11,0,VLOOKUP(WEEKDAY($B11),Datenblatt!$L$46:$N$52,3,FALSE))</f>
        <v>8</v>
      </c>
      <c r="E11" s="164">
        <f>IF(VLOOKUP($B11,Datenblatt!$A$43:$A$65,1,1)=$B11,0,IF(WEEKDAY($B11)=7,1,IF(WEEKDAY($B11)=1,0,2)))</f>
        <v>2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416" t="str">
        <f>IF(VLOOKUP($B11,Datenblatt!$A$43:$A$66,1,1)=$B11,VLOOKUP($B11,Datenblatt!$A$43:$C$66,3,FALSE)," ")</f>
        <v xml:space="preserve"> </v>
      </c>
      <c r="W11" s="417"/>
      <c r="X11" s="418"/>
      <c r="AA11" s="179"/>
    </row>
    <row r="12" spans="2:128" ht="12.2" customHeight="1">
      <c r="B12" s="162">
        <f t="shared" si="4"/>
        <v>46238</v>
      </c>
      <c r="C12" s="163">
        <f t="shared" si="0"/>
        <v>46238</v>
      </c>
      <c r="D12" s="164">
        <f>IF(VLOOKUP($B12,Datenblatt!$A$43:$A$65,1,1)=$B12,0,VLOOKUP(WEEKDAY($B12),Datenblatt!$L$46:$N$52,3,FALSE))</f>
        <v>8</v>
      </c>
      <c r="E12" s="164">
        <f>IF(VLOOKUP($B12,Datenblatt!$A$43:$A$65,1,1)=$B12,0,IF(WEEKDAY($B12)=7,1,IF(WEEKDAY($B12)=1,0,2)))</f>
        <v>2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416" t="str">
        <f>IF(VLOOKUP($B12,Datenblatt!$A$43:$A$66,1,1)=$B12,VLOOKUP($B12,Datenblatt!$A$43:$C$66,3,FALSE)," ")</f>
        <v xml:space="preserve"> </v>
      </c>
      <c r="W12" s="417"/>
      <c r="X12" s="418"/>
      <c r="AA12" s="179"/>
    </row>
    <row r="13" spans="2:128" s="161" customFormat="1" ht="12.2" customHeight="1">
      <c r="B13" s="162">
        <f t="shared" si="4"/>
        <v>46239</v>
      </c>
      <c r="C13" s="163">
        <f t="shared" si="0"/>
        <v>46239</v>
      </c>
      <c r="D13" s="164">
        <f>IF(VLOOKUP($B13,Datenblatt!$A$43:$A$65,1,1)=$B13,0,VLOOKUP(WEEKDAY($B13),Datenblatt!$L$46:$N$52,3,FALSE))</f>
        <v>8</v>
      </c>
      <c r="E13" s="164">
        <f>IF(VLOOKUP($B13,Datenblatt!$A$43:$A$65,1,1)=$B13,0,IF(WEEKDAY($B13)=7,1,IF(WEEKDAY($B13)=1,0,2)))</f>
        <v>2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416" t="str">
        <f>IF(VLOOKUP($B13,Datenblatt!$A$43:$A$66,1,1)=$B13,VLOOKUP($B13,Datenblatt!$A$43:$C$66,3,FALSE)," ")</f>
        <v xml:space="preserve"> </v>
      </c>
      <c r="W13" s="417"/>
      <c r="X13" s="418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46240</v>
      </c>
      <c r="C14" s="163">
        <f t="shared" si="0"/>
        <v>46240</v>
      </c>
      <c r="D14" s="164">
        <f>IF(VLOOKUP($B14,Datenblatt!$A$43:$A$65,1,1)=$B14,0,VLOOKUP(WEEKDAY($B14),Datenblatt!$L$46:$N$52,3,FALSE))</f>
        <v>8</v>
      </c>
      <c r="E14" s="164">
        <f>IF(VLOOKUP($B14,Datenblatt!$A$43:$A$65,1,1)=$B14,0,IF(WEEKDAY($B14)=7,1,IF(WEEKDAY($B14)=1,0,2)))</f>
        <v>2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416" t="str">
        <f>IF(VLOOKUP($B14,Datenblatt!$A$43:$A$66,1,1)=$B14,VLOOKUP($B14,Datenblatt!$A$43:$C$66,3,FALSE)," ")</f>
        <v xml:space="preserve"> </v>
      </c>
      <c r="W14" s="417"/>
      <c r="X14" s="418"/>
      <c r="AA14" s="179"/>
    </row>
    <row r="15" spans="2:128" ht="12.2" customHeight="1">
      <c r="B15" s="162">
        <f t="shared" si="4"/>
        <v>46241</v>
      </c>
      <c r="C15" s="163">
        <f t="shared" si="0"/>
        <v>46241</v>
      </c>
      <c r="D15" s="164">
        <f>IF(VLOOKUP($B15,Datenblatt!$A$43:$A$65,1,1)=$B15,0,VLOOKUP(WEEKDAY($B15),Datenblatt!$L$46:$N$52,3,FALSE))</f>
        <v>8</v>
      </c>
      <c r="E15" s="164">
        <f>IF(VLOOKUP($B15,Datenblatt!$A$43:$A$65,1,1)=$B15,0,IF(WEEKDAY($B15)=7,1,IF(WEEKDAY($B15)=1,0,2)))</f>
        <v>2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416" t="str">
        <f>IF(VLOOKUP($B15,Datenblatt!$A$43:$A$66,1,1)=$B15,VLOOKUP($B15,Datenblatt!$A$43:$C$66,3,FALSE)," ")</f>
        <v xml:space="preserve"> </v>
      </c>
      <c r="W15" s="417"/>
      <c r="X15" s="418"/>
      <c r="AA15" s="179"/>
    </row>
    <row r="16" spans="2:128" ht="12.2" customHeight="1">
      <c r="B16" s="162">
        <f t="shared" si="4"/>
        <v>46242</v>
      </c>
      <c r="C16" s="163">
        <f t="shared" si="0"/>
        <v>46242</v>
      </c>
      <c r="D16" s="164">
        <f>IF(VLOOKUP($B16,Datenblatt!$A$43:$A$65,1,1)=$B16,0,VLOOKUP(WEEKDAY($B16),Datenblatt!$L$46:$N$52,3,FALSE))</f>
        <v>0</v>
      </c>
      <c r="E16" s="164">
        <f>IF(VLOOKUP($B16,Datenblatt!$A$43:$A$65,1,1)=$B16,0,IF(WEEKDAY($B16)=7,1,IF(WEEKDAY($B16)=1,0,2)))</f>
        <v>1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416" t="str">
        <f>IF(VLOOKUP($B16,Datenblatt!$A$43:$A$66,1,1)=$B16,VLOOKUP($B16,Datenblatt!$A$43:$C$66,3,FALSE)," ")</f>
        <v xml:space="preserve"> </v>
      </c>
      <c r="W16" s="417"/>
      <c r="X16" s="418"/>
      <c r="AA16" s="179"/>
    </row>
    <row r="17" spans="2:128" ht="12.2" customHeight="1">
      <c r="B17" s="162">
        <f t="shared" si="4"/>
        <v>46243</v>
      </c>
      <c r="C17" s="163">
        <f t="shared" si="0"/>
        <v>46243</v>
      </c>
      <c r="D17" s="164">
        <f>IF(VLOOKUP($B17,Datenblatt!$A$43:$A$65,1,1)=$B17,0,VLOOKUP(WEEKDAY($B17),Datenblatt!$L$46:$N$52,3,FALSE))</f>
        <v>0</v>
      </c>
      <c r="E17" s="164">
        <f>IF(VLOOKUP($B17,Datenblatt!$A$43:$A$65,1,1)=$B17,0,IF(WEEKDAY($B17)=7,1,IF(WEEKDAY($B17)=1,0,2)))</f>
        <v>0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416" t="str">
        <f>IF(VLOOKUP($B17,Datenblatt!$A$43:$A$66,1,1)=$B17,VLOOKUP($B17,Datenblatt!$A$43:$C$66,3,FALSE)," ")</f>
        <v xml:space="preserve"> </v>
      </c>
      <c r="W17" s="417"/>
      <c r="X17" s="418"/>
      <c r="AA17" s="179"/>
    </row>
    <row r="18" spans="2:128" ht="12.2" customHeight="1">
      <c r="B18" s="162">
        <f t="shared" si="4"/>
        <v>46244</v>
      </c>
      <c r="C18" s="163">
        <f t="shared" si="0"/>
        <v>46244</v>
      </c>
      <c r="D18" s="164">
        <f>IF(VLOOKUP($B18,Datenblatt!$A$43:$A$65,1,1)=$B18,0,VLOOKUP(WEEKDAY($B18),Datenblatt!$L$46:$N$52,3,FALSE))</f>
        <v>8</v>
      </c>
      <c r="E18" s="164">
        <f>IF(VLOOKUP($B18,Datenblatt!$A$43:$A$65,1,1)=$B18,0,IF(WEEKDAY($B18)=7,1,IF(WEEKDAY($B18)=1,0,2)))</f>
        <v>2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416" t="str">
        <f>IF(VLOOKUP($B18,Datenblatt!$A$43:$A$66,1,1)=$B18,VLOOKUP($B18,Datenblatt!$A$43:$C$66,3,FALSE)," ")</f>
        <v xml:space="preserve"> </v>
      </c>
      <c r="W18" s="417"/>
      <c r="X18" s="418"/>
      <c r="AA18" s="179"/>
    </row>
    <row r="19" spans="2:128" ht="12.2" customHeight="1">
      <c r="B19" s="162">
        <f t="shared" si="4"/>
        <v>46245</v>
      </c>
      <c r="C19" s="163">
        <f t="shared" si="0"/>
        <v>46245</v>
      </c>
      <c r="D19" s="164">
        <f>IF(VLOOKUP($B19,Datenblatt!$A$43:$A$65,1,1)=$B19,0,VLOOKUP(WEEKDAY($B19),Datenblatt!$L$46:$N$52,3,FALSE))</f>
        <v>8</v>
      </c>
      <c r="E19" s="164">
        <f>IF(VLOOKUP($B19,Datenblatt!$A$43:$A$65,1,1)=$B19,0,IF(WEEKDAY($B19)=7,1,IF(WEEKDAY($B19)=1,0,2)))</f>
        <v>2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416" t="str">
        <f>IF(VLOOKUP($B19,Datenblatt!$A$43:$A$66,1,1)=$B19,VLOOKUP($B19,Datenblatt!$A$43:$C$66,3,FALSE)," ")</f>
        <v xml:space="preserve"> </v>
      </c>
      <c r="W19" s="417"/>
      <c r="X19" s="418"/>
      <c r="AA19" s="179"/>
    </row>
    <row r="20" spans="2:128" ht="12.2" customHeight="1">
      <c r="B20" s="162">
        <f t="shared" si="4"/>
        <v>46246</v>
      </c>
      <c r="C20" s="163">
        <f t="shared" si="0"/>
        <v>46246</v>
      </c>
      <c r="D20" s="164">
        <f>IF(VLOOKUP($B20,Datenblatt!$A$43:$A$65,1,1)=$B20,0,VLOOKUP(WEEKDAY($B20),Datenblatt!$L$46:$N$52,3,FALSE))</f>
        <v>8</v>
      </c>
      <c r="E20" s="164">
        <f>IF(VLOOKUP($B20,Datenblatt!$A$43:$A$65,1,1)=$B20,0,IF(WEEKDAY($B20)=7,1,IF(WEEKDAY($B20)=1,0,2)))</f>
        <v>2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416" t="str">
        <f>IF(VLOOKUP($B20,Datenblatt!$A$43:$A$66,1,1)=$B20,VLOOKUP($B20,Datenblatt!$A$43:$C$66,3,FALSE)," ")</f>
        <v xml:space="preserve"> </v>
      </c>
      <c r="W20" s="417"/>
      <c r="X20" s="418"/>
      <c r="AA20" s="179"/>
    </row>
    <row r="21" spans="2:128" ht="12.2" customHeight="1">
      <c r="B21" s="162">
        <f t="shared" si="4"/>
        <v>46247</v>
      </c>
      <c r="C21" s="163">
        <f t="shared" si="0"/>
        <v>46247</v>
      </c>
      <c r="D21" s="164">
        <f>IF(VLOOKUP($B21,Datenblatt!$A$43:$A$65,1,1)=$B21,0,VLOOKUP(WEEKDAY($B21),Datenblatt!$L$46:$N$52,3,FALSE))</f>
        <v>8</v>
      </c>
      <c r="E21" s="164">
        <f>IF(VLOOKUP($B21,Datenblatt!$A$43:$A$65,1,1)=$B21,0,IF(WEEKDAY($B21)=7,1,IF(WEEKDAY($B21)=1,0,2)))</f>
        <v>2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416" t="str">
        <f>IF(VLOOKUP($B21,Datenblatt!$A$43:$A$66,1,1)=$B21,VLOOKUP($B21,Datenblatt!$A$43:$C$66,3,FALSE)," ")</f>
        <v xml:space="preserve"> </v>
      </c>
      <c r="W21" s="417"/>
      <c r="X21" s="418"/>
      <c r="AA21" s="179"/>
    </row>
    <row r="22" spans="2:128" s="180" customFormat="1" ht="12.2" customHeight="1">
      <c r="B22" s="162">
        <f t="shared" si="4"/>
        <v>46248</v>
      </c>
      <c r="C22" s="163">
        <f t="shared" si="0"/>
        <v>46248</v>
      </c>
      <c r="D22" s="164">
        <f>IF(VLOOKUP($B22,Datenblatt!$A$43:$A$65,1,1)=$B22,0,VLOOKUP(WEEKDAY($B22),Datenblatt!$L$46:$N$52,3,FALSE))</f>
        <v>8</v>
      </c>
      <c r="E22" s="164">
        <f>IF(VLOOKUP($B22,Datenblatt!$A$43:$A$65,1,1)=$B22,0,IF(WEEKDAY($B22)=7,1,IF(WEEKDAY($B22)=1,0,2)))</f>
        <v>2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416" t="str">
        <f>IF(VLOOKUP($B22,Datenblatt!$A$43:$A$66,1,1)=$B22,VLOOKUP($B22,Datenblatt!$A$43:$C$66,3,FALSE)," ")</f>
        <v xml:space="preserve"> </v>
      </c>
      <c r="W22" s="417"/>
      <c r="X22" s="418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46249</v>
      </c>
      <c r="C23" s="163">
        <f t="shared" si="0"/>
        <v>46249</v>
      </c>
      <c r="D23" s="164">
        <f>IF(VLOOKUP($B23,Datenblatt!$A$43:$A$65,1,1)=$B23,0,VLOOKUP(WEEKDAY($B23),Datenblatt!$L$46:$N$52,3,FALSE))</f>
        <v>0</v>
      </c>
      <c r="E23" s="164">
        <f>IF(VLOOKUP($B23,Datenblatt!$A$43:$A$65,1,1)=$B23,0,IF(WEEKDAY($B23)=7,1,IF(WEEKDAY($B23)=1,0,2)))</f>
        <v>0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416" t="str">
        <f>IF(VLOOKUP($B23,Datenblatt!$A$43:$A$66,1,1)=$B23,VLOOKUP($B23,Datenblatt!$A$43:$C$66,3,FALSE)," ")</f>
        <v>Maria Himmelfahrt</v>
      </c>
      <c r="W23" s="417"/>
      <c r="X23" s="418"/>
      <c r="AA23" s="179"/>
    </row>
    <row r="24" spans="2:128" ht="12.2" customHeight="1">
      <c r="B24" s="162">
        <f t="shared" si="4"/>
        <v>46250</v>
      </c>
      <c r="C24" s="163">
        <f t="shared" si="0"/>
        <v>46250</v>
      </c>
      <c r="D24" s="164">
        <f>IF(VLOOKUP($B24,Datenblatt!$A$43:$A$65,1,1)=$B24,0,VLOOKUP(WEEKDAY($B24),Datenblatt!$L$46:$N$52,3,FALSE))</f>
        <v>0</v>
      </c>
      <c r="E24" s="164">
        <f>IF(VLOOKUP($B24,Datenblatt!$A$43:$A$65,1,1)=$B24,0,IF(WEEKDAY($B24)=7,1,IF(WEEKDAY($B24)=1,0,2)))</f>
        <v>0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416" t="str">
        <f>IF(VLOOKUP($B24,Datenblatt!$A$43:$A$66,1,1)=$B24,VLOOKUP($B24,Datenblatt!$A$43:$C$66,3,FALSE)," ")</f>
        <v xml:space="preserve"> </v>
      </c>
      <c r="W24" s="417"/>
      <c r="X24" s="418"/>
      <c r="AA24" s="179"/>
    </row>
    <row r="25" spans="2:128" ht="12.2" customHeight="1">
      <c r="B25" s="162">
        <f t="shared" si="4"/>
        <v>46251</v>
      </c>
      <c r="C25" s="163">
        <f t="shared" si="0"/>
        <v>46251</v>
      </c>
      <c r="D25" s="164">
        <f>IF(VLOOKUP($B25,Datenblatt!$A$43:$A$65,1,1)=$B25,0,VLOOKUP(WEEKDAY($B25),Datenblatt!$L$46:$N$52,3,FALSE))</f>
        <v>8</v>
      </c>
      <c r="E25" s="164">
        <f>IF(VLOOKUP($B25,Datenblatt!$A$43:$A$65,1,1)=$B25,0,IF(WEEKDAY($B25)=7,1,IF(WEEKDAY($B25)=1,0,2)))</f>
        <v>2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416" t="str">
        <f>IF(VLOOKUP($B25,Datenblatt!$A$43:$A$66,1,1)=$B25,VLOOKUP($B25,Datenblatt!$A$43:$C$66,3,FALSE)," ")</f>
        <v xml:space="preserve"> </v>
      </c>
      <c r="W25" s="417"/>
      <c r="X25" s="418"/>
      <c r="AA25" s="179"/>
    </row>
    <row r="26" spans="2:128" ht="12.2" customHeight="1">
      <c r="B26" s="162">
        <f t="shared" si="4"/>
        <v>46252</v>
      </c>
      <c r="C26" s="163">
        <f t="shared" si="0"/>
        <v>46252</v>
      </c>
      <c r="D26" s="164">
        <f>IF(VLOOKUP($B26,Datenblatt!$A$43:$A$65,1,1)=$B26,0,VLOOKUP(WEEKDAY($B26),Datenblatt!$L$46:$N$52,3,FALSE))</f>
        <v>8</v>
      </c>
      <c r="E26" s="164">
        <f>IF(VLOOKUP($B26,Datenblatt!$A$43:$A$65,1,1)=$B26,0,IF(WEEKDAY($B26)=7,1,IF(WEEKDAY($B26)=1,0,2)))</f>
        <v>2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416" t="str">
        <f>IF(VLOOKUP($B26,Datenblatt!$A$43:$A$66,1,1)=$B26,VLOOKUP($B26,Datenblatt!$A$43:$C$66,3,FALSE)," ")</f>
        <v xml:space="preserve"> </v>
      </c>
      <c r="W26" s="417"/>
      <c r="X26" s="418"/>
      <c r="AA26" s="179"/>
    </row>
    <row r="27" spans="2:128" ht="12.2" customHeight="1">
      <c r="B27" s="162">
        <f t="shared" si="4"/>
        <v>46253</v>
      </c>
      <c r="C27" s="163">
        <f t="shared" si="0"/>
        <v>46253</v>
      </c>
      <c r="D27" s="164">
        <f>IF(VLOOKUP($B27,Datenblatt!$A$43:$A$65,1,1)=$B27,0,VLOOKUP(WEEKDAY($B27),Datenblatt!$L$46:$N$52,3,FALSE))</f>
        <v>8</v>
      </c>
      <c r="E27" s="164">
        <f>IF(VLOOKUP($B27,Datenblatt!$A$43:$A$65,1,1)=$B27,0,IF(WEEKDAY($B27)=7,1,IF(WEEKDAY($B27)=1,0,2)))</f>
        <v>2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416" t="str">
        <f>IF(VLOOKUP($B27,Datenblatt!$A$43:$A$66,1,1)=$B27,VLOOKUP($B27,Datenblatt!$A$43:$C$66,3,FALSE)," ")</f>
        <v xml:space="preserve"> </v>
      </c>
      <c r="W27" s="417"/>
      <c r="X27" s="418"/>
      <c r="AA27" s="179"/>
    </row>
    <row r="28" spans="2:128" ht="12.2" customHeight="1">
      <c r="B28" s="162">
        <f t="shared" si="4"/>
        <v>46254</v>
      </c>
      <c r="C28" s="163">
        <f t="shared" si="0"/>
        <v>46254</v>
      </c>
      <c r="D28" s="164">
        <f>IF(VLOOKUP($B28,Datenblatt!$A$43:$A$65,1,1)=$B28,0,VLOOKUP(WEEKDAY($B28),Datenblatt!$L$46:$N$52,3,FALSE))</f>
        <v>8</v>
      </c>
      <c r="E28" s="164">
        <f>IF(VLOOKUP($B28,Datenblatt!$A$43:$A$65,1,1)=$B28,0,IF(WEEKDAY($B28)=7,1,IF(WEEKDAY($B28)=1,0,2)))</f>
        <v>2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416" t="str">
        <f>IF(VLOOKUP($B28,Datenblatt!$A$43:$A$66,1,1)=$B28,VLOOKUP($B28,Datenblatt!$A$43:$C$66,3,FALSE)," ")</f>
        <v xml:space="preserve"> </v>
      </c>
      <c r="W28" s="417"/>
      <c r="X28" s="418"/>
      <c r="AA28" s="179"/>
    </row>
    <row r="29" spans="2:128" ht="12.2" customHeight="1">
      <c r="B29" s="162">
        <f t="shared" si="4"/>
        <v>46255</v>
      </c>
      <c r="C29" s="163">
        <f t="shared" si="0"/>
        <v>46255</v>
      </c>
      <c r="D29" s="164">
        <f>IF(VLOOKUP($B29,Datenblatt!$A$43:$A$65,1,1)=$B29,0,VLOOKUP(WEEKDAY($B29),Datenblatt!$L$46:$N$52,3,FALSE))</f>
        <v>8</v>
      </c>
      <c r="E29" s="164">
        <f>IF(VLOOKUP($B29,Datenblatt!$A$43:$A$65,1,1)=$B29,0,IF(WEEKDAY($B29)=7,1,IF(WEEKDAY($B29)=1,0,2)))</f>
        <v>2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416" t="str">
        <f>IF(VLOOKUP($B29,Datenblatt!$A$43:$A$66,1,1)=$B29,VLOOKUP($B29,Datenblatt!$A$43:$C$66,3,FALSE)," ")</f>
        <v xml:space="preserve"> </v>
      </c>
      <c r="W29" s="417"/>
      <c r="X29" s="418"/>
      <c r="AA29" s="179"/>
    </row>
    <row r="30" spans="2:128" ht="12.2" customHeight="1">
      <c r="B30" s="162">
        <f t="shared" si="4"/>
        <v>46256</v>
      </c>
      <c r="C30" s="163">
        <f t="shared" si="0"/>
        <v>46256</v>
      </c>
      <c r="D30" s="164">
        <f>IF(VLOOKUP($B30,Datenblatt!$A$43:$A$65,1,1)=$B30,0,VLOOKUP(WEEKDAY($B30),Datenblatt!$L$46:$N$52,3,FALSE))</f>
        <v>0</v>
      </c>
      <c r="E30" s="164">
        <f>IF(VLOOKUP($B30,Datenblatt!$A$43:$A$65,1,1)=$B30,0,IF(WEEKDAY($B30)=7,1,IF(WEEKDAY($B30)=1,0,2)))</f>
        <v>1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416" t="str">
        <f>IF(VLOOKUP($B30,Datenblatt!$A$43:$A$66,1,1)=$B30,VLOOKUP($B30,Datenblatt!$A$43:$C$66,3,FALSE)," ")</f>
        <v xml:space="preserve"> </v>
      </c>
      <c r="W30" s="417"/>
      <c r="X30" s="418"/>
      <c r="AA30" s="179"/>
    </row>
    <row r="31" spans="2:128" ht="12.2" customHeight="1">
      <c r="B31" s="162">
        <f t="shared" si="4"/>
        <v>46257</v>
      </c>
      <c r="C31" s="163">
        <f t="shared" si="0"/>
        <v>46257</v>
      </c>
      <c r="D31" s="164">
        <f>IF(VLOOKUP($B31,Datenblatt!$A$43:$A$65,1,1)=$B31,0,VLOOKUP(WEEKDAY($B31),Datenblatt!$L$46:$N$52,3,FALSE))</f>
        <v>0</v>
      </c>
      <c r="E31" s="164">
        <f>IF(VLOOKUP($B31,Datenblatt!$A$43:$A$65,1,1)=$B31,0,IF(WEEKDAY($B31)=7,1,IF(WEEKDAY($B31)=1,0,2)))</f>
        <v>0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416" t="str">
        <f>IF(VLOOKUP($B31,Datenblatt!$A$43:$A$66,1,1)=$B31,VLOOKUP($B31,Datenblatt!$A$43:$C$66,3,FALSE)," ")</f>
        <v xml:space="preserve"> </v>
      </c>
      <c r="W31" s="417"/>
      <c r="X31" s="418"/>
      <c r="AA31" s="179"/>
    </row>
    <row r="32" spans="2:128" ht="12.2" customHeight="1">
      <c r="B32" s="162">
        <f t="shared" si="4"/>
        <v>46258</v>
      </c>
      <c r="C32" s="163">
        <f t="shared" si="0"/>
        <v>46258</v>
      </c>
      <c r="D32" s="164">
        <f>IF(VLOOKUP($B32,Datenblatt!$A$43:$A$65,1,1)=$B32,0,VLOOKUP(WEEKDAY($B32),Datenblatt!$L$46:$N$52,3,FALSE))</f>
        <v>8</v>
      </c>
      <c r="E32" s="164">
        <f>IF(VLOOKUP($B32,Datenblatt!$A$43:$A$65,1,1)=$B32,0,IF(WEEKDAY($B32)=7,1,IF(WEEKDAY($B32)=1,0,2)))</f>
        <v>2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416" t="str">
        <f>IF(VLOOKUP($B32,Datenblatt!$A$43:$A$66,1,1)=$B32,VLOOKUP($B32,Datenblatt!$A$43:$C$66,3,FALSE)," ")</f>
        <v xml:space="preserve"> </v>
      </c>
      <c r="W32" s="417"/>
      <c r="X32" s="418"/>
      <c r="AA32" s="179"/>
    </row>
    <row r="33" spans="2:128" ht="12.2" customHeight="1">
      <c r="B33" s="162">
        <f t="shared" si="4"/>
        <v>46259</v>
      </c>
      <c r="C33" s="163">
        <f t="shared" si="0"/>
        <v>46259</v>
      </c>
      <c r="D33" s="164">
        <f>IF(VLOOKUP($B33,Datenblatt!$A$43:$A$65,1,1)=$B33,0,VLOOKUP(WEEKDAY($B33),Datenblatt!$L$46:$N$52,3,FALSE))</f>
        <v>8</v>
      </c>
      <c r="E33" s="164">
        <f>IF(VLOOKUP($B33,Datenblatt!$A$43:$A$65,1,1)=$B33,0,IF(WEEKDAY($B33)=7,1,IF(WEEKDAY($B33)=1,0,2)))</f>
        <v>2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416" t="str">
        <f>IF(VLOOKUP($B33,Datenblatt!$A$43:$A$66,1,1)=$B33,VLOOKUP($B33,Datenblatt!$A$43:$C$66,3,FALSE)," ")</f>
        <v xml:space="preserve"> </v>
      </c>
      <c r="W33" s="417"/>
      <c r="X33" s="418"/>
      <c r="AA33" s="179"/>
    </row>
    <row r="34" spans="2:128" ht="12.2" customHeight="1">
      <c r="B34" s="162">
        <f t="shared" si="4"/>
        <v>46260</v>
      </c>
      <c r="C34" s="163">
        <f t="shared" si="0"/>
        <v>46260</v>
      </c>
      <c r="D34" s="164">
        <f>IF(VLOOKUP($B34,Datenblatt!$A$43:$A$65,1,1)=$B34,0,VLOOKUP(WEEKDAY($B34),Datenblatt!$L$46:$N$52,3,FALSE))</f>
        <v>8</v>
      </c>
      <c r="E34" s="164">
        <f>IF(VLOOKUP($B34,Datenblatt!$A$43:$A$65,1,1)=$B34,0,IF(WEEKDAY($B34)=7,1,IF(WEEKDAY($B34)=1,0,2)))</f>
        <v>2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416" t="str">
        <f>IF(VLOOKUP($B34,Datenblatt!$A$43:$A$66,1,1)=$B34,VLOOKUP($B34,Datenblatt!$A$43:$C$66,3,FALSE)," ")</f>
        <v xml:space="preserve"> </v>
      </c>
      <c r="W34" s="417"/>
      <c r="X34" s="418"/>
      <c r="AA34" s="179"/>
    </row>
    <row r="35" spans="2:128" ht="12.2" customHeight="1">
      <c r="B35" s="162">
        <f t="shared" si="4"/>
        <v>46261</v>
      </c>
      <c r="C35" s="163">
        <f t="shared" si="0"/>
        <v>46261</v>
      </c>
      <c r="D35" s="164">
        <f>IF(VLOOKUP($B35,Datenblatt!$A$43:$A$65,1,1)=$B35,0,VLOOKUP(WEEKDAY($B35),Datenblatt!$L$46:$N$52,3,FALSE))</f>
        <v>8</v>
      </c>
      <c r="E35" s="164">
        <f>IF(VLOOKUP($B35,Datenblatt!$A$43:$A$65,1,1)=$B35,0,IF(WEEKDAY($B35)=7,1,IF(WEEKDAY($B35)=1,0,2)))</f>
        <v>2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416" t="str">
        <f>IF(VLOOKUP($B35,Datenblatt!$A$43:$A$66,1,1)=$B35,VLOOKUP($B35,Datenblatt!$A$43:$C$66,3,FALSE)," ")</f>
        <v xml:space="preserve"> </v>
      </c>
      <c r="W35" s="417"/>
      <c r="X35" s="418"/>
      <c r="AA35" s="179"/>
    </row>
    <row r="36" spans="2:128" ht="12.2" customHeight="1">
      <c r="B36" s="162">
        <f t="shared" si="4"/>
        <v>46262</v>
      </c>
      <c r="C36" s="163">
        <f t="shared" si="0"/>
        <v>46262</v>
      </c>
      <c r="D36" s="164">
        <f>IF(VLOOKUP($B36,Datenblatt!$A$43:$A$65,1,1)=$B36,0,VLOOKUP(WEEKDAY($B36),Datenblatt!$L$46:$N$52,3,FALSE))</f>
        <v>8</v>
      </c>
      <c r="E36" s="164">
        <f>IF(VLOOKUP($B36,Datenblatt!$A$43:$A$65,1,1)=$B36,0,IF(WEEKDAY($B36)=7,1,IF(WEEKDAY($B36)=1,0,2)))</f>
        <v>2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416" t="str">
        <f>IF(VLOOKUP($B36,Datenblatt!$A$43:$A$66,1,1)=$B36,VLOOKUP($B36,Datenblatt!$A$43:$C$66,3,FALSE)," ")</f>
        <v xml:space="preserve"> </v>
      </c>
      <c r="W36" s="417"/>
      <c r="X36" s="418"/>
      <c r="AA36" s="179"/>
    </row>
    <row r="37" spans="2:128" ht="12.2" customHeight="1">
      <c r="B37" s="162">
        <f t="shared" si="4"/>
        <v>46263</v>
      </c>
      <c r="C37" s="163">
        <f t="shared" si="0"/>
        <v>46263</v>
      </c>
      <c r="D37" s="164">
        <f>IF(VLOOKUP($B37,Datenblatt!$A$43:$A$65,1,1)=$B37,0,VLOOKUP(WEEKDAY($B37),Datenblatt!$L$46:$N$52,3,FALSE))</f>
        <v>0</v>
      </c>
      <c r="E37" s="164">
        <f>IF(VLOOKUP($B37,Datenblatt!$A$43:$A$65,1,1)=$B37,0,IF(WEEKDAY($B37)=7,1,IF(WEEKDAY($B37)=1,0,2)))</f>
        <v>1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416" t="str">
        <f>IF(VLOOKUP($B37,Datenblatt!$A$43:$A$66,1,1)=$B37,VLOOKUP($B37,Datenblatt!$A$43:$C$66,3,FALSE)," ")</f>
        <v xml:space="preserve"> </v>
      </c>
      <c r="W37" s="417"/>
      <c r="X37" s="418"/>
      <c r="AA37" s="179"/>
    </row>
    <row r="38" spans="2:128" ht="12.2" customHeight="1">
      <c r="B38" s="162">
        <f t="shared" si="4"/>
        <v>46264</v>
      </c>
      <c r="C38" s="163">
        <f t="shared" si="0"/>
        <v>46264</v>
      </c>
      <c r="D38" s="164">
        <f>IF(VLOOKUP($B38,Datenblatt!$A$43:$A$65,1,1)=$B38,0,VLOOKUP(WEEKDAY($B38),Datenblatt!$L$46:$N$52,3,FALSE))</f>
        <v>0</v>
      </c>
      <c r="E38" s="164">
        <f>IF(VLOOKUP($B38,Datenblatt!$A$43:$A$65,1,1)=$B38,0,IF(WEEKDAY($B38)=7,1,IF(WEEKDAY($B38)=1,0,2)))</f>
        <v>0</v>
      </c>
      <c r="F38" s="165"/>
      <c r="G38" s="166"/>
      <c r="H38" s="167"/>
      <c r="I38" s="168"/>
      <c r="J38" s="167"/>
      <c r="K38" s="168"/>
      <c r="L38" s="167"/>
      <c r="M38" s="169"/>
      <c r="N38" s="170"/>
      <c r="O38" s="170"/>
      <c r="P38" s="171"/>
      <c r="Q38" s="172"/>
      <c r="R38" s="173" t="str">
        <f t="shared" si="1"/>
        <v/>
      </c>
      <c r="S38" s="174" t="str">
        <f t="shared" si="2"/>
        <v/>
      </c>
      <c r="T38" s="175" t="str">
        <f t="shared" si="3"/>
        <v/>
      </c>
      <c r="U38" s="176"/>
      <c r="V38" s="416" t="str">
        <f>IF(VLOOKUP($B38,Datenblatt!$A$43:$A$66,1,1)=$B38,VLOOKUP($B38,Datenblatt!$A$43:$C$66,3,FALSE)," ")</f>
        <v xml:space="preserve"> </v>
      </c>
      <c r="W38" s="417"/>
      <c r="X38" s="418"/>
      <c r="AA38" s="179"/>
    </row>
    <row r="39" spans="2:128" ht="12.2" customHeight="1" thickBot="1">
      <c r="B39" s="162">
        <f t="shared" si="4"/>
        <v>46265</v>
      </c>
      <c r="C39" s="163">
        <f t="shared" si="0"/>
        <v>46265</v>
      </c>
      <c r="D39" s="164">
        <f>IF(VLOOKUP($B39,Datenblatt!$A$43:$A$65,1,1)=$B39,0,VLOOKUP(WEEKDAY($B39),Datenblatt!$L$46:$N$52,3,FALSE))</f>
        <v>8</v>
      </c>
      <c r="E39" s="164">
        <f>IF(VLOOKUP($B39,Datenblatt!$A$43:$A$65,1,1)=$B39,0,IF(WEEKDAY($B39)=7,1,IF(WEEKDAY($B39)=1,0,2)))</f>
        <v>2</v>
      </c>
      <c r="F39" s="165"/>
      <c r="G39" s="166"/>
      <c r="H39" s="167"/>
      <c r="I39" s="168"/>
      <c r="J39" s="167"/>
      <c r="K39" s="168"/>
      <c r="L39" s="167"/>
      <c r="M39" s="169"/>
      <c r="N39" s="170"/>
      <c r="O39" s="170"/>
      <c r="P39" s="171"/>
      <c r="Q39" s="172"/>
      <c r="R39" s="173" t="str">
        <f t="shared" si="1"/>
        <v/>
      </c>
      <c r="S39" s="174" t="str">
        <f t="shared" si="2"/>
        <v/>
      </c>
      <c r="T39" s="175" t="str">
        <f t="shared" si="3"/>
        <v/>
      </c>
      <c r="U39" s="176"/>
      <c r="V39" s="424" t="str">
        <f>IF(VLOOKUP($B39,Datenblatt!$A$43:$A$66,1,1)=$B39,VLOOKUP($B39,Datenblatt!$A$43:$C$66,3,FALSE)," ")</f>
        <v xml:space="preserve"> </v>
      </c>
      <c r="W39" s="425"/>
      <c r="X39" s="426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412"/>
      <c r="X40" s="41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21  Arbeitstage in diesem Monat</v>
      </c>
      <c r="C41" s="190"/>
      <c r="D41" s="215"/>
      <c r="E41" s="215"/>
      <c r="F41" s="215"/>
      <c r="G41" s="216"/>
      <c r="H41" s="215"/>
      <c r="I41" s="66"/>
      <c r="J41" s="66"/>
      <c r="K41" s="66"/>
      <c r="L41" s="66"/>
      <c r="M41" s="24" t="str">
        <f>"Sollstunden für August "&amp;Datenblatt!$F$5&amp;":"</f>
        <v>Sollstunden für August 2026:</v>
      </c>
      <c r="N41" s="66"/>
      <c r="O41" s="66"/>
      <c r="P41" s="194"/>
      <c r="R41" s="195"/>
      <c r="S41" s="398">
        <f>SUM(D9:D39)</f>
        <v>168</v>
      </c>
      <c r="T41" s="398"/>
      <c r="U41" s="196"/>
      <c r="V41" s="196"/>
      <c r="W41" s="197"/>
      <c r="X41" s="130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20" t="s">
        <v>239</v>
      </c>
      <c r="J42" s="420"/>
      <c r="K42" s="198"/>
      <c r="M42" s="198" t="str">
        <f>IF(S42&gt;=0,"Zeitguthaben im Monat August "&amp;Datenblatt!F5&amp;":   ","Zeitdefizit im Monat August "&amp;Datenblatt!F5&amp;":   ")</f>
        <v xml:space="preserve">Zeitguthaben im Monat August 2026:   </v>
      </c>
      <c r="N42" s="198"/>
      <c r="O42" s="198"/>
      <c r="R42" s="199"/>
      <c r="S42" s="421" t="s">
        <v>239</v>
      </c>
      <c r="T42" s="421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Juli "&amp;Datenblatt!F5-1&amp;":   ","  - Zeitdefizit aus Juli "&amp;Datenblatt!F5&amp;":   ")</f>
        <v xml:space="preserve">  + Zeitguthaben aus Juli 2025:   </v>
      </c>
      <c r="S43" s="427" t="str">
        <f>Jän!S44</f>
        <v>________ h</v>
      </c>
      <c r="T43" s="427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198" t="str">
        <f>"Übertrag für September "&amp;Datenblatt!F5</f>
        <v>Übertrag für September 2026</v>
      </c>
      <c r="R44" s="204"/>
      <c r="S44" s="423" t="s">
        <v>239</v>
      </c>
      <c r="T44" s="423"/>
      <c r="U44" s="200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19">
        <f ca="1">TODAY()</f>
        <v>45935</v>
      </c>
      <c r="H45" s="419"/>
      <c r="I45" s="419"/>
      <c r="T45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G45:I45"/>
    <mergeCell ref="I42:J42"/>
    <mergeCell ref="S42:T42"/>
    <mergeCell ref="S43:T43"/>
    <mergeCell ref="S44:T44"/>
    <mergeCell ref="W7:W8"/>
    <mergeCell ref="F7:G7"/>
    <mergeCell ref="S7:S8"/>
    <mergeCell ref="X7:X8"/>
    <mergeCell ref="W40:X40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S41:T41"/>
    <mergeCell ref="L2:P2"/>
    <mergeCell ref="T4:U4"/>
    <mergeCell ref="T5:U5"/>
    <mergeCell ref="H7:M7"/>
    <mergeCell ref="N7:O7"/>
    <mergeCell ref="P7:P8"/>
    <mergeCell ref="Q7:Q8"/>
  </mergeCells>
  <phoneticPr fontId="2" type="noConversion"/>
  <conditionalFormatting sqref="A15 DY15:IV15">
    <cfRule type="cellIs" dxfId="34" priority="1" stopIfTrue="1" operator="equal">
      <formula>MATCH($E15,0)</formula>
    </cfRule>
    <cfRule type="expression" dxfId="33" priority="2" stopIfTrue="1">
      <formula>"WOCHENTAG($B8)=1"</formula>
    </cfRule>
    <cfRule type="expression" dxfId="32" priority="3" stopIfTrue="1">
      <formula>"WOCHENTAG($B8)=7"</formula>
    </cfRule>
  </conditionalFormatting>
  <conditionalFormatting sqref="B9:C39">
    <cfRule type="expression" dxfId="31" priority="8" stopIfTrue="1">
      <formula>($E9=1)</formula>
    </cfRule>
  </conditionalFormatting>
  <conditionalFormatting sqref="V9 B9:T39 V10:X10 V11:V39">
    <cfRule type="expression" dxfId="30" priority="4" stopIfTrue="1">
      <formula>($E9=0)</formula>
    </cfRule>
    <cfRule type="expression" dxfId="29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DX48"/>
  <sheetViews>
    <sheetView showGridLines="0" topLeftCell="B1" workbookViewId="0">
      <pane ySplit="8" topLeftCell="A12" activePane="bottomLeft" state="frozen"/>
      <selection activeCell="V13" sqref="V13:X13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" style="94" bestFit="1" customWidth="1"/>
    <col min="4" max="4" width="0.28515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399">
        <f>DATE(Datenblatt!F5,9,1)</f>
        <v>46266</v>
      </c>
      <c r="M2" s="399"/>
      <c r="N2" s="399"/>
      <c r="O2" s="399"/>
      <c r="P2" s="399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"&amp;Datenblatt!$Q$46&amp;";"&amp;"    Di: "&amp;Datenblatt!$Q$47&amp;";"&amp;"    Mi: "&amp;Datenblatt!$Q$48&amp;";"&amp;"    Do: "&amp;Datenblatt!$Q$49&amp;";"&amp;"    Fr: "&amp;Datenblatt!$Q$50&amp;";"&amp;"    Sa: "&amp;Datenblatt!$Q$51&amp;";"&amp;"    So: "&amp;Datenblatt!$Q$52&amp;""&amp;"     -    Wochenarbeitszeit:  "&amp;Datenblatt!$Q$53&amp;" h"</f>
        <v>Arbeitsstunden/Tag:  Mo: 8;    Di: 8;    Mi: 8;    Do: 8;    Fr: 8;    Sa: 0;    So: 0     -    Wochenarbeitszeit:  40 h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01" t="s">
        <v>238</v>
      </c>
      <c r="U4" s="401"/>
      <c r="V4" s="147"/>
      <c r="W4" s="148" t="str">
        <f>"Urlaubsanspruch per 01.09."&amp;Datenblatt!$F$5</f>
        <v>Urlaubsanspruch per 01.09.2026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"&amp;IF(Datenblatt!Q55=1,Datenblatt!D34,IF(Datenblatt!Q55=2,Datenblatt!D35,IF(Datenblatt!Q55=3,Datenblatt!D36,IF(Datenblatt!Q55=4,Datenblatt!D37))))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01" t="s">
        <v>238</v>
      </c>
      <c r="U5" s="401"/>
      <c r="V5" s="147"/>
      <c r="W5" s="149" t="str">
        <f>"Resturlaub per 30.09."&amp;Datenblatt!$F$5</f>
        <v>Resturlaub per 30.09.2026</v>
      </c>
      <c r="X5" s="130" t="s">
        <v>144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66"/>
      <c r="D7" s="66"/>
      <c r="E7" s="66"/>
      <c r="F7" s="408" t="s">
        <v>126</v>
      </c>
      <c r="G7" s="408"/>
      <c r="H7" s="402" t="s">
        <v>127</v>
      </c>
      <c r="I7" s="402"/>
      <c r="J7" s="402"/>
      <c r="K7" s="402"/>
      <c r="L7" s="402"/>
      <c r="M7" s="402"/>
      <c r="N7" s="403" t="s">
        <v>128</v>
      </c>
      <c r="O7" s="403"/>
      <c r="P7" s="404" t="s">
        <v>129</v>
      </c>
      <c r="Q7" s="405" t="s">
        <v>130</v>
      </c>
      <c r="R7" s="150" t="s">
        <v>131</v>
      </c>
      <c r="S7" s="409" t="s">
        <v>132</v>
      </c>
      <c r="T7" s="151" t="s">
        <v>133</v>
      </c>
      <c r="U7" s="152"/>
      <c r="V7" s="350"/>
      <c r="W7" s="406" t="s">
        <v>134</v>
      </c>
      <c r="X7" s="410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04"/>
      <c r="Q8" s="405"/>
      <c r="R8" s="158" t="s">
        <v>138</v>
      </c>
      <c r="S8" s="409"/>
      <c r="T8" s="159" t="s">
        <v>138</v>
      </c>
      <c r="U8" s="160"/>
      <c r="V8" s="351"/>
      <c r="W8" s="407"/>
      <c r="X8" s="411"/>
    </row>
    <row r="9" spans="2:128" s="161" customFormat="1" ht="12.2" customHeight="1">
      <c r="B9" s="162">
        <f>L2</f>
        <v>46266</v>
      </c>
      <c r="C9" s="163">
        <f t="shared" ref="C9:C38" si="0">B9</f>
        <v>46266</v>
      </c>
      <c r="D9" s="164">
        <f>IF(VLOOKUP($B9,Datenblatt!$A$43:$A$65,1,1)=$B9,0,VLOOKUP(WEEKDAY($B9),Datenblatt!$O$46:$Q$52,3,FALSE))</f>
        <v>8</v>
      </c>
      <c r="E9" s="164">
        <f>IF(VLOOKUP($B9,Datenblatt!$A$43:$A$65,1,1)=$B9,0,IF(WEEKDAY($B9)=7,1,IF(WEEKDAY($B9)=1,0,2)))</f>
        <v>2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3" t="str">
        <f>IF(VLOOKUP($B9,Datenblatt!$A$43:$A$66,1,1)=$B9,VLOOKUP($B9,Datenblatt!$A$43:$C$66,3,FALSE)," ")</f>
        <v xml:space="preserve"> </v>
      </c>
      <c r="W9" s="414"/>
      <c r="X9" s="41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8" si="4">B9+1</f>
        <v>46267</v>
      </c>
      <c r="C10" s="163">
        <f t="shared" si="0"/>
        <v>46267</v>
      </c>
      <c r="D10" s="164">
        <f>IF(VLOOKUP($B10,Datenblatt!$A$43:$A$65,1,1)=$B10,0,VLOOKUP(WEEKDAY($B10),Datenblatt!$O$46:$Q$52,3,FALSE))</f>
        <v>8</v>
      </c>
      <c r="E10" s="164">
        <f>IF(VLOOKUP($B10,Datenblatt!$A$43:$A$65,1,1)=$B10,0,IF(WEEKDAY($B10)=7,1,IF(WEEKDAY($B10)=1,0,2)))</f>
        <v>2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 xml:space="preserve"> </v>
      </c>
      <c r="W10" s="379"/>
      <c r="X10" s="380"/>
    </row>
    <row r="11" spans="2:128" ht="12.2" customHeight="1">
      <c r="B11" s="162">
        <f t="shared" si="4"/>
        <v>46268</v>
      </c>
      <c r="C11" s="163">
        <f t="shared" si="0"/>
        <v>46268</v>
      </c>
      <c r="D11" s="164">
        <f>IF(VLOOKUP($B11,Datenblatt!$A$43:$A$65,1,1)=$B11,0,VLOOKUP(WEEKDAY($B11),Datenblatt!$O$46:$Q$52,3,FALSE))</f>
        <v>8</v>
      </c>
      <c r="E11" s="164">
        <f>IF(VLOOKUP($B11,Datenblatt!$A$43:$A$65,1,1)=$B11,0,IF(WEEKDAY($B11)=7,1,IF(WEEKDAY($B11)=1,0,2)))</f>
        <v>2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416" t="str">
        <f>IF(VLOOKUP($B11,Datenblatt!$A$43:$A$66,1,1)=$B11,VLOOKUP($B11,Datenblatt!$A$43:$C$66,3,FALSE)," ")</f>
        <v xml:space="preserve"> </v>
      </c>
      <c r="W11" s="417"/>
      <c r="X11" s="418"/>
      <c r="AA11" s="179"/>
    </row>
    <row r="12" spans="2:128" ht="12.2" customHeight="1">
      <c r="B12" s="162">
        <f t="shared" si="4"/>
        <v>46269</v>
      </c>
      <c r="C12" s="163">
        <f t="shared" si="0"/>
        <v>46269</v>
      </c>
      <c r="D12" s="164">
        <f>IF(VLOOKUP($B12,Datenblatt!$A$43:$A$65,1,1)=$B12,0,VLOOKUP(WEEKDAY($B12),Datenblatt!$O$46:$Q$52,3,FALSE))</f>
        <v>8</v>
      </c>
      <c r="E12" s="164">
        <f>IF(VLOOKUP($B12,Datenblatt!$A$43:$A$65,1,1)=$B12,0,IF(WEEKDAY($B12)=7,1,IF(WEEKDAY($B12)=1,0,2)))</f>
        <v>2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416" t="str">
        <f>IF(VLOOKUP($B12,Datenblatt!$A$43:$A$66,1,1)=$B12,VLOOKUP($B12,Datenblatt!$A$43:$C$66,3,FALSE)," ")</f>
        <v xml:space="preserve"> </v>
      </c>
      <c r="W12" s="417"/>
      <c r="X12" s="418"/>
      <c r="AA12" s="179"/>
    </row>
    <row r="13" spans="2:128" s="161" customFormat="1" ht="12.2" customHeight="1">
      <c r="B13" s="162">
        <f t="shared" si="4"/>
        <v>46270</v>
      </c>
      <c r="C13" s="163">
        <f t="shared" si="0"/>
        <v>46270</v>
      </c>
      <c r="D13" s="164">
        <f>IF(VLOOKUP($B13,Datenblatt!$A$43:$A$65,1,1)=$B13,0,VLOOKUP(WEEKDAY($B13),Datenblatt!$O$46:$Q$52,3,FALSE))</f>
        <v>0</v>
      </c>
      <c r="E13" s="164">
        <f>IF(VLOOKUP($B13,Datenblatt!$A$43:$A$65,1,1)=$B13,0,IF(WEEKDAY($B13)=7,1,IF(WEEKDAY($B13)=1,0,2)))</f>
        <v>1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416" t="str">
        <f>IF(VLOOKUP($B13,Datenblatt!$A$43:$A$66,1,1)=$B13,VLOOKUP($B13,Datenblatt!$A$43:$C$66,3,FALSE)," ")</f>
        <v xml:space="preserve"> </v>
      </c>
      <c r="W13" s="417"/>
      <c r="X13" s="418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46271</v>
      </c>
      <c r="C14" s="163">
        <f t="shared" si="0"/>
        <v>46271</v>
      </c>
      <c r="D14" s="164">
        <f>IF(VLOOKUP($B14,Datenblatt!$A$43:$A$65,1,1)=$B14,0,VLOOKUP(WEEKDAY($B14),Datenblatt!$O$46:$Q$52,3,FALSE))</f>
        <v>0</v>
      </c>
      <c r="E14" s="164">
        <f>IF(VLOOKUP($B14,Datenblatt!$A$43:$A$65,1,1)=$B14,0,IF(WEEKDAY($B14)=7,1,IF(WEEKDAY($B14)=1,0,2)))</f>
        <v>0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416" t="str">
        <f>IF(VLOOKUP($B14,Datenblatt!$A$43:$A$66,1,1)=$B14,VLOOKUP($B14,Datenblatt!$A$43:$C$66,3,FALSE)," ")</f>
        <v xml:space="preserve"> </v>
      </c>
      <c r="W14" s="417"/>
      <c r="X14" s="418"/>
      <c r="AA14" s="179"/>
    </row>
    <row r="15" spans="2:128" ht="12.2" customHeight="1">
      <c r="B15" s="162">
        <f t="shared" si="4"/>
        <v>46272</v>
      </c>
      <c r="C15" s="163">
        <f t="shared" si="0"/>
        <v>46272</v>
      </c>
      <c r="D15" s="164">
        <f>IF(VLOOKUP($B15,Datenblatt!$A$43:$A$65,1,1)=$B15,0,VLOOKUP(WEEKDAY($B15),Datenblatt!$O$46:$Q$52,3,FALSE))</f>
        <v>8</v>
      </c>
      <c r="E15" s="164">
        <f>IF(VLOOKUP($B15,Datenblatt!$A$43:$A$65,1,1)=$B15,0,IF(WEEKDAY($B15)=7,1,IF(WEEKDAY($B15)=1,0,2)))</f>
        <v>2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416" t="str">
        <f>IF(VLOOKUP($B15,Datenblatt!$A$43:$A$66,1,1)=$B15,VLOOKUP($B15,Datenblatt!$A$43:$C$66,3,FALSE)," ")</f>
        <v xml:space="preserve"> </v>
      </c>
      <c r="W15" s="417"/>
      <c r="X15" s="418"/>
      <c r="AA15" s="179"/>
    </row>
    <row r="16" spans="2:128" ht="12.2" customHeight="1">
      <c r="B16" s="162">
        <f t="shared" si="4"/>
        <v>46273</v>
      </c>
      <c r="C16" s="163">
        <f t="shared" si="0"/>
        <v>46273</v>
      </c>
      <c r="D16" s="164">
        <f>IF(VLOOKUP($B16,Datenblatt!$A$43:$A$65,1,1)=$B16,0,VLOOKUP(WEEKDAY($B16),Datenblatt!$O$46:$Q$52,3,FALSE))</f>
        <v>8</v>
      </c>
      <c r="E16" s="164">
        <f>IF(VLOOKUP($B16,Datenblatt!$A$43:$A$65,1,1)=$B16,0,IF(WEEKDAY($B16)=7,1,IF(WEEKDAY($B16)=1,0,2)))</f>
        <v>2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416" t="str">
        <f>IF(VLOOKUP($B16,Datenblatt!$A$43:$A$66,1,1)=$B16,VLOOKUP($B16,Datenblatt!$A$43:$C$66,3,FALSE)," ")</f>
        <v xml:space="preserve"> </v>
      </c>
      <c r="W16" s="417"/>
      <c r="X16" s="418"/>
      <c r="AA16" s="179"/>
    </row>
    <row r="17" spans="2:128" ht="12.2" customHeight="1">
      <c r="B17" s="162">
        <f t="shared" si="4"/>
        <v>46274</v>
      </c>
      <c r="C17" s="163">
        <f t="shared" si="0"/>
        <v>46274</v>
      </c>
      <c r="D17" s="164">
        <f>IF(VLOOKUP($B17,Datenblatt!$A$43:$A$65,1,1)=$B17,0,VLOOKUP(WEEKDAY($B17),Datenblatt!$O$46:$Q$52,3,FALSE))</f>
        <v>8</v>
      </c>
      <c r="E17" s="164">
        <f>IF(VLOOKUP($B17,Datenblatt!$A$43:$A$65,1,1)=$B17,0,IF(WEEKDAY($B17)=7,1,IF(WEEKDAY($B17)=1,0,2)))</f>
        <v>2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416" t="str">
        <f>IF(VLOOKUP($B17,Datenblatt!$A$43:$A$66,1,1)=$B17,VLOOKUP($B17,Datenblatt!$A$43:$C$66,3,FALSE)," ")</f>
        <v xml:space="preserve"> </v>
      </c>
      <c r="W17" s="417"/>
      <c r="X17" s="418"/>
      <c r="AA17" s="179"/>
    </row>
    <row r="18" spans="2:128" ht="12.2" customHeight="1">
      <c r="B18" s="162">
        <f t="shared" si="4"/>
        <v>46275</v>
      </c>
      <c r="C18" s="163">
        <f t="shared" si="0"/>
        <v>46275</v>
      </c>
      <c r="D18" s="164">
        <f>IF(VLOOKUP($B18,Datenblatt!$A$43:$A$65,1,1)=$B18,0,VLOOKUP(WEEKDAY($B18),Datenblatt!$O$46:$Q$52,3,FALSE))</f>
        <v>8</v>
      </c>
      <c r="E18" s="164">
        <f>IF(VLOOKUP($B18,Datenblatt!$A$43:$A$65,1,1)=$B18,0,IF(WEEKDAY($B18)=7,1,IF(WEEKDAY($B18)=1,0,2)))</f>
        <v>2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416" t="str">
        <f>IF(VLOOKUP($B18,Datenblatt!$A$43:$A$66,1,1)=$B18,VLOOKUP($B18,Datenblatt!$A$43:$C$66,3,FALSE)," ")</f>
        <v xml:space="preserve"> </v>
      </c>
      <c r="W18" s="417"/>
      <c r="X18" s="418"/>
      <c r="AA18" s="179"/>
    </row>
    <row r="19" spans="2:128" ht="12.2" customHeight="1">
      <c r="B19" s="162">
        <f t="shared" si="4"/>
        <v>46276</v>
      </c>
      <c r="C19" s="163">
        <f t="shared" si="0"/>
        <v>46276</v>
      </c>
      <c r="D19" s="164">
        <f>IF(VLOOKUP($B19,Datenblatt!$A$43:$A$65,1,1)=$B19,0,VLOOKUP(WEEKDAY($B19),Datenblatt!$O$46:$Q$52,3,FALSE))</f>
        <v>8</v>
      </c>
      <c r="E19" s="164">
        <f>IF(VLOOKUP($B19,Datenblatt!$A$43:$A$65,1,1)=$B19,0,IF(WEEKDAY($B19)=7,1,IF(WEEKDAY($B19)=1,0,2)))</f>
        <v>2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416" t="str">
        <f>IF(VLOOKUP($B19,Datenblatt!$A$43:$A$66,1,1)=$B19,VLOOKUP($B19,Datenblatt!$A$43:$C$66,3,FALSE)," ")</f>
        <v xml:space="preserve"> </v>
      </c>
      <c r="W19" s="417"/>
      <c r="X19" s="418"/>
      <c r="AA19" s="179"/>
    </row>
    <row r="20" spans="2:128" ht="12.2" customHeight="1">
      <c r="B20" s="162">
        <f t="shared" si="4"/>
        <v>46277</v>
      </c>
      <c r="C20" s="163">
        <f t="shared" si="0"/>
        <v>46277</v>
      </c>
      <c r="D20" s="164">
        <f>IF(VLOOKUP($B20,Datenblatt!$A$43:$A$65,1,1)=$B20,0,VLOOKUP(WEEKDAY($B20),Datenblatt!$O$46:$Q$52,3,FALSE))</f>
        <v>0</v>
      </c>
      <c r="E20" s="164">
        <f>IF(VLOOKUP($B20,Datenblatt!$A$43:$A$65,1,1)=$B20,0,IF(WEEKDAY($B20)=7,1,IF(WEEKDAY($B20)=1,0,2)))</f>
        <v>1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416" t="str">
        <f>IF(VLOOKUP($B20,Datenblatt!$A$43:$A$66,1,1)=$B20,VLOOKUP($B20,Datenblatt!$A$43:$C$66,3,FALSE)," ")</f>
        <v xml:space="preserve"> </v>
      </c>
      <c r="W20" s="417"/>
      <c r="X20" s="418"/>
      <c r="AA20" s="179"/>
    </row>
    <row r="21" spans="2:128" ht="12.2" customHeight="1">
      <c r="B21" s="162">
        <f t="shared" si="4"/>
        <v>46278</v>
      </c>
      <c r="C21" s="163">
        <f t="shared" si="0"/>
        <v>46278</v>
      </c>
      <c r="D21" s="164">
        <f>IF(VLOOKUP($B21,Datenblatt!$A$43:$A$65,1,1)=$B21,0,VLOOKUP(WEEKDAY($B21),Datenblatt!$O$46:$Q$52,3,FALSE))</f>
        <v>0</v>
      </c>
      <c r="E21" s="164">
        <f>IF(VLOOKUP($B21,Datenblatt!$A$43:$A$65,1,1)=$B21,0,IF(WEEKDAY($B21)=7,1,IF(WEEKDAY($B21)=1,0,2)))</f>
        <v>0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416" t="str">
        <f>IF(VLOOKUP($B21,Datenblatt!$A$43:$A$66,1,1)=$B21,VLOOKUP($B21,Datenblatt!$A$43:$C$66,3,FALSE)," ")</f>
        <v xml:space="preserve"> </v>
      </c>
      <c r="W21" s="417"/>
      <c r="X21" s="418"/>
      <c r="AA21" s="179"/>
    </row>
    <row r="22" spans="2:128" s="180" customFormat="1" ht="12.2" customHeight="1">
      <c r="B22" s="162">
        <f t="shared" si="4"/>
        <v>46279</v>
      </c>
      <c r="C22" s="163">
        <f t="shared" si="0"/>
        <v>46279</v>
      </c>
      <c r="D22" s="164">
        <f>IF(VLOOKUP($B22,Datenblatt!$A$43:$A$65,1,1)=$B22,0,VLOOKUP(WEEKDAY($B22),Datenblatt!$O$46:$Q$52,3,FALSE))</f>
        <v>8</v>
      </c>
      <c r="E22" s="164">
        <f>IF(VLOOKUP($B22,Datenblatt!$A$43:$A$65,1,1)=$B22,0,IF(WEEKDAY($B22)=7,1,IF(WEEKDAY($B22)=1,0,2)))</f>
        <v>2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416" t="str">
        <f>IF(VLOOKUP($B22,Datenblatt!$A$43:$A$66,1,1)=$B22,VLOOKUP($B22,Datenblatt!$A$43:$C$66,3,FALSE)," ")</f>
        <v xml:space="preserve"> </v>
      </c>
      <c r="W22" s="417"/>
      <c r="X22" s="418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46280</v>
      </c>
      <c r="C23" s="163">
        <f t="shared" si="0"/>
        <v>46280</v>
      </c>
      <c r="D23" s="164">
        <f>IF(VLOOKUP($B23,Datenblatt!$A$43:$A$65,1,1)=$B23,0,VLOOKUP(WEEKDAY($B23),Datenblatt!$O$46:$Q$52,3,FALSE))</f>
        <v>8</v>
      </c>
      <c r="E23" s="164">
        <f>IF(VLOOKUP($B23,Datenblatt!$A$43:$A$65,1,1)=$B23,0,IF(WEEKDAY($B23)=7,1,IF(WEEKDAY($B23)=1,0,2)))</f>
        <v>2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416" t="str">
        <f>IF(VLOOKUP($B23,Datenblatt!$A$43:$A$66,1,1)=$B23,VLOOKUP($B23,Datenblatt!$A$43:$C$66,3,FALSE)," ")</f>
        <v xml:space="preserve"> </v>
      </c>
      <c r="W23" s="417"/>
      <c r="X23" s="418"/>
      <c r="AA23" s="179"/>
    </row>
    <row r="24" spans="2:128" ht="12.2" customHeight="1">
      <c r="B24" s="162">
        <f t="shared" si="4"/>
        <v>46281</v>
      </c>
      <c r="C24" s="163">
        <f t="shared" si="0"/>
        <v>46281</v>
      </c>
      <c r="D24" s="164">
        <f>IF(VLOOKUP($B24,Datenblatt!$A$43:$A$65,1,1)=$B24,0,VLOOKUP(WEEKDAY($B24),Datenblatt!$O$46:$Q$52,3,FALSE))</f>
        <v>8</v>
      </c>
      <c r="E24" s="164">
        <f>IF(VLOOKUP($B24,Datenblatt!$A$43:$A$65,1,1)=$B24,0,IF(WEEKDAY($B24)=7,1,IF(WEEKDAY($B24)=1,0,2)))</f>
        <v>2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416" t="str">
        <f>IF(VLOOKUP($B24,Datenblatt!$A$43:$A$66,1,1)=$B24,VLOOKUP($B24,Datenblatt!$A$43:$C$66,3,FALSE)," ")</f>
        <v xml:space="preserve"> </v>
      </c>
      <c r="W24" s="417"/>
      <c r="X24" s="418"/>
      <c r="AA24" s="179"/>
    </row>
    <row r="25" spans="2:128" ht="12.2" customHeight="1">
      <c r="B25" s="162">
        <f t="shared" si="4"/>
        <v>46282</v>
      </c>
      <c r="C25" s="163">
        <f t="shared" si="0"/>
        <v>46282</v>
      </c>
      <c r="D25" s="164">
        <f>IF(VLOOKUP($B25,Datenblatt!$A$43:$A$65,1,1)=$B25,0,VLOOKUP(WEEKDAY($B25),Datenblatt!$O$46:$Q$52,3,FALSE))</f>
        <v>8</v>
      </c>
      <c r="E25" s="164">
        <f>IF(VLOOKUP($B25,Datenblatt!$A$43:$A$65,1,1)=$B25,0,IF(WEEKDAY($B25)=7,1,IF(WEEKDAY($B25)=1,0,2)))</f>
        <v>2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416" t="str">
        <f>IF(VLOOKUP($B25,Datenblatt!$A$43:$A$66,1,1)=$B25,VLOOKUP($B25,Datenblatt!$A$43:$C$66,3,FALSE)," ")</f>
        <v xml:space="preserve"> </v>
      </c>
      <c r="W25" s="417"/>
      <c r="X25" s="418"/>
      <c r="AA25" s="179"/>
    </row>
    <row r="26" spans="2:128" ht="12.2" customHeight="1">
      <c r="B26" s="162">
        <f t="shared" si="4"/>
        <v>46283</v>
      </c>
      <c r="C26" s="163">
        <f t="shared" si="0"/>
        <v>46283</v>
      </c>
      <c r="D26" s="164">
        <f>IF(VLOOKUP($B26,Datenblatt!$A$43:$A$65,1,1)=$B26,0,VLOOKUP(WEEKDAY($B26),Datenblatt!$O$46:$Q$52,3,FALSE))</f>
        <v>8</v>
      </c>
      <c r="E26" s="164">
        <f>IF(VLOOKUP($B26,Datenblatt!$A$43:$A$65,1,1)=$B26,0,IF(WEEKDAY($B26)=7,1,IF(WEEKDAY($B26)=1,0,2)))</f>
        <v>2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416" t="str">
        <f>IF(VLOOKUP($B26,Datenblatt!$A$43:$A$66,1,1)=$B26,VLOOKUP($B26,Datenblatt!$A$43:$C$66,3,FALSE)," ")</f>
        <v xml:space="preserve"> </v>
      </c>
      <c r="W26" s="417"/>
      <c r="X26" s="418"/>
      <c r="AA26" s="179"/>
    </row>
    <row r="27" spans="2:128" ht="12.2" customHeight="1">
      <c r="B27" s="162">
        <f t="shared" si="4"/>
        <v>46284</v>
      </c>
      <c r="C27" s="163">
        <f t="shared" si="0"/>
        <v>46284</v>
      </c>
      <c r="D27" s="164">
        <f>IF(VLOOKUP($B27,Datenblatt!$A$43:$A$65,1,1)=$B27,0,VLOOKUP(WEEKDAY($B27),Datenblatt!$O$46:$Q$52,3,FALSE))</f>
        <v>0</v>
      </c>
      <c r="E27" s="164">
        <f>IF(VLOOKUP($B27,Datenblatt!$A$43:$A$65,1,1)=$B27,0,IF(WEEKDAY($B27)=7,1,IF(WEEKDAY($B27)=1,0,2)))</f>
        <v>1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416" t="str">
        <f>IF(VLOOKUP($B27,Datenblatt!$A$43:$A$66,1,1)=$B27,VLOOKUP($B27,Datenblatt!$A$43:$C$66,3,FALSE)," ")</f>
        <v xml:space="preserve"> </v>
      </c>
      <c r="W27" s="417"/>
      <c r="X27" s="418"/>
      <c r="AA27" s="179"/>
    </row>
    <row r="28" spans="2:128" ht="12.2" customHeight="1">
      <c r="B28" s="162">
        <f t="shared" si="4"/>
        <v>46285</v>
      </c>
      <c r="C28" s="163">
        <f t="shared" si="0"/>
        <v>46285</v>
      </c>
      <c r="D28" s="164">
        <f>IF(VLOOKUP($B28,Datenblatt!$A$43:$A$65,1,1)=$B28,0,VLOOKUP(WEEKDAY($B28),Datenblatt!$O$46:$Q$52,3,FALSE))</f>
        <v>0</v>
      </c>
      <c r="E28" s="164">
        <f>IF(VLOOKUP($B28,Datenblatt!$A$43:$A$65,1,1)=$B28,0,IF(WEEKDAY($B28)=7,1,IF(WEEKDAY($B28)=1,0,2)))</f>
        <v>0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416" t="str">
        <f>IF(VLOOKUP($B28,Datenblatt!$A$43:$A$66,1,1)=$B28,VLOOKUP($B28,Datenblatt!$A$43:$C$66,3,FALSE)," ")</f>
        <v xml:space="preserve"> </v>
      </c>
      <c r="W28" s="417"/>
      <c r="X28" s="418"/>
      <c r="AA28" s="179"/>
    </row>
    <row r="29" spans="2:128" ht="12.2" customHeight="1">
      <c r="B29" s="162">
        <f t="shared" si="4"/>
        <v>46286</v>
      </c>
      <c r="C29" s="163">
        <f t="shared" si="0"/>
        <v>46286</v>
      </c>
      <c r="D29" s="164">
        <f>IF(VLOOKUP($B29,Datenblatt!$A$43:$A$65,1,1)=$B29,0,VLOOKUP(WEEKDAY($B29),Datenblatt!$O$46:$Q$52,3,FALSE))</f>
        <v>8</v>
      </c>
      <c r="E29" s="164">
        <f>IF(VLOOKUP($B29,Datenblatt!$A$43:$A$65,1,1)=$B29,0,IF(WEEKDAY($B29)=7,1,IF(WEEKDAY($B29)=1,0,2)))</f>
        <v>2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416" t="str">
        <f>IF(VLOOKUP($B29,Datenblatt!$A$43:$A$66,1,1)=$B29,VLOOKUP($B29,Datenblatt!$A$43:$C$66,3,FALSE)," ")</f>
        <v xml:space="preserve"> </v>
      </c>
      <c r="W29" s="417"/>
      <c r="X29" s="418"/>
      <c r="AA29" s="179"/>
    </row>
    <row r="30" spans="2:128" ht="12.2" customHeight="1">
      <c r="B30" s="162">
        <f t="shared" si="4"/>
        <v>46287</v>
      </c>
      <c r="C30" s="163">
        <f t="shared" si="0"/>
        <v>46287</v>
      </c>
      <c r="D30" s="164">
        <f>IF(VLOOKUP($B30,Datenblatt!$A$43:$A$65,1,1)=$B30,0,VLOOKUP(WEEKDAY($B30),Datenblatt!$O$46:$Q$52,3,FALSE))</f>
        <v>8</v>
      </c>
      <c r="E30" s="164">
        <f>IF(VLOOKUP($B30,Datenblatt!$A$43:$A$65,1,1)=$B30,0,IF(WEEKDAY($B30)=7,1,IF(WEEKDAY($B30)=1,0,2)))</f>
        <v>2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416" t="str">
        <f>IF(VLOOKUP($B30,Datenblatt!$A$43:$A$66,1,1)=$B30,VLOOKUP($B30,Datenblatt!$A$43:$C$66,3,FALSE)," ")</f>
        <v xml:space="preserve"> </v>
      </c>
      <c r="W30" s="417"/>
      <c r="X30" s="418"/>
      <c r="AA30" s="179"/>
    </row>
    <row r="31" spans="2:128" ht="12.2" customHeight="1">
      <c r="B31" s="162">
        <f t="shared" si="4"/>
        <v>46288</v>
      </c>
      <c r="C31" s="163">
        <f t="shared" si="0"/>
        <v>46288</v>
      </c>
      <c r="D31" s="164">
        <f>IF(VLOOKUP($B31,Datenblatt!$A$43:$A$65,1,1)=$B31,0,VLOOKUP(WEEKDAY($B31),Datenblatt!$O$46:$Q$52,3,FALSE))</f>
        <v>8</v>
      </c>
      <c r="E31" s="164">
        <f>IF(VLOOKUP($B31,Datenblatt!$A$43:$A$65,1,1)=$B31,0,IF(WEEKDAY($B31)=7,1,IF(WEEKDAY($B31)=1,0,2)))</f>
        <v>2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416" t="str">
        <f>IF(VLOOKUP($B31,Datenblatt!$A$43:$A$66,1,1)=$B31,VLOOKUP($B31,Datenblatt!$A$43:$C$66,3,FALSE)," ")</f>
        <v xml:space="preserve"> </v>
      </c>
      <c r="W31" s="417"/>
      <c r="X31" s="418"/>
      <c r="AA31" s="179"/>
    </row>
    <row r="32" spans="2:128" ht="12.2" customHeight="1">
      <c r="B32" s="162">
        <f t="shared" si="4"/>
        <v>46289</v>
      </c>
      <c r="C32" s="163">
        <f t="shared" si="0"/>
        <v>46289</v>
      </c>
      <c r="D32" s="164">
        <f>IF(VLOOKUP($B32,Datenblatt!$A$43:$A$65,1,1)=$B32,0,VLOOKUP(WEEKDAY($B32),Datenblatt!$O$46:$Q$52,3,FALSE))</f>
        <v>8</v>
      </c>
      <c r="E32" s="164">
        <f>IF(VLOOKUP($B32,Datenblatt!$A$43:$A$65,1,1)=$B32,0,IF(WEEKDAY($B32)=7,1,IF(WEEKDAY($B32)=1,0,2)))</f>
        <v>2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416" t="str">
        <f>IF(VLOOKUP($B32,Datenblatt!$A$43:$A$66,1,1)=$B32,VLOOKUP($B32,Datenblatt!$A$43:$C$66,3,FALSE)," ")</f>
        <v xml:space="preserve"> </v>
      </c>
      <c r="W32" s="417"/>
      <c r="X32" s="418"/>
      <c r="AA32" s="179"/>
    </row>
    <row r="33" spans="2:128" ht="12.2" customHeight="1">
      <c r="B33" s="162">
        <f t="shared" si="4"/>
        <v>46290</v>
      </c>
      <c r="C33" s="163">
        <f t="shared" si="0"/>
        <v>46290</v>
      </c>
      <c r="D33" s="164">
        <f>IF(VLOOKUP($B33,Datenblatt!$A$43:$A$65,1,1)=$B33,0,VLOOKUP(WEEKDAY($B33),Datenblatt!$O$46:$Q$52,3,FALSE))</f>
        <v>8</v>
      </c>
      <c r="E33" s="164">
        <f>IF(VLOOKUP($B33,Datenblatt!$A$43:$A$65,1,1)=$B33,0,IF(WEEKDAY($B33)=7,1,IF(WEEKDAY($B33)=1,0,2)))</f>
        <v>2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416" t="str">
        <f>IF(VLOOKUP($B33,Datenblatt!$A$43:$A$66,1,1)=$B33,VLOOKUP($B33,Datenblatt!$A$43:$C$66,3,FALSE)," ")</f>
        <v xml:space="preserve"> </v>
      </c>
      <c r="W33" s="417"/>
      <c r="X33" s="418"/>
      <c r="AA33" s="179"/>
    </row>
    <row r="34" spans="2:128" ht="12.2" customHeight="1">
      <c r="B34" s="162">
        <f t="shared" si="4"/>
        <v>46291</v>
      </c>
      <c r="C34" s="163">
        <f t="shared" si="0"/>
        <v>46291</v>
      </c>
      <c r="D34" s="164">
        <f>IF(VLOOKUP($B34,Datenblatt!$A$43:$A$65,1,1)=$B34,0,VLOOKUP(WEEKDAY($B34),Datenblatt!$O$46:$Q$52,3,FALSE))</f>
        <v>0</v>
      </c>
      <c r="E34" s="164">
        <f>IF(VLOOKUP($B34,Datenblatt!$A$43:$A$65,1,1)=$B34,0,IF(WEEKDAY($B34)=7,1,IF(WEEKDAY($B34)=1,0,2)))</f>
        <v>1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416" t="str">
        <f>IF(VLOOKUP($B34,Datenblatt!$A$43:$A$66,1,1)=$B34,VLOOKUP($B34,Datenblatt!$A$43:$C$66,3,FALSE)," ")</f>
        <v xml:space="preserve"> </v>
      </c>
      <c r="W34" s="417"/>
      <c r="X34" s="418"/>
      <c r="AA34" s="179"/>
    </row>
    <row r="35" spans="2:128" ht="12.2" customHeight="1">
      <c r="B35" s="162">
        <f t="shared" si="4"/>
        <v>46292</v>
      </c>
      <c r="C35" s="163">
        <f t="shared" si="0"/>
        <v>46292</v>
      </c>
      <c r="D35" s="164">
        <f>IF(VLOOKUP($B35,Datenblatt!$A$43:$A$65,1,1)=$B35,0,VLOOKUP(WEEKDAY($B35),Datenblatt!$O$46:$Q$52,3,FALSE))</f>
        <v>0</v>
      </c>
      <c r="E35" s="164">
        <f>IF(VLOOKUP($B35,Datenblatt!$A$43:$A$65,1,1)=$B35,0,IF(WEEKDAY($B35)=7,1,IF(WEEKDAY($B35)=1,0,2)))</f>
        <v>0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416" t="str">
        <f>IF(VLOOKUP($B35,Datenblatt!$A$43:$A$66,1,1)=$B35,VLOOKUP($B35,Datenblatt!$A$43:$C$66,3,FALSE)," ")</f>
        <v xml:space="preserve"> </v>
      </c>
      <c r="W35" s="417"/>
      <c r="X35" s="418"/>
      <c r="AA35" s="179"/>
    </row>
    <row r="36" spans="2:128" ht="12.2" customHeight="1">
      <c r="B36" s="162">
        <f t="shared" si="4"/>
        <v>46293</v>
      </c>
      <c r="C36" s="163">
        <f t="shared" si="0"/>
        <v>46293</v>
      </c>
      <c r="D36" s="164">
        <f>IF(VLOOKUP($B36,Datenblatt!$A$43:$A$65,1,1)=$B36,0,VLOOKUP(WEEKDAY($B36),Datenblatt!$O$46:$Q$52,3,FALSE))</f>
        <v>8</v>
      </c>
      <c r="E36" s="164">
        <f>IF(VLOOKUP($B36,Datenblatt!$A$43:$A$65,1,1)=$B36,0,IF(WEEKDAY($B36)=7,1,IF(WEEKDAY($B36)=1,0,2)))</f>
        <v>2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416" t="str">
        <f>IF(VLOOKUP($B36,Datenblatt!$A$43:$A$66,1,1)=$B36,VLOOKUP($B36,Datenblatt!$A$43:$C$66,3,FALSE)," ")</f>
        <v xml:space="preserve"> </v>
      </c>
      <c r="W36" s="417"/>
      <c r="X36" s="418"/>
      <c r="AA36" s="179"/>
    </row>
    <row r="37" spans="2:128" ht="12.2" customHeight="1">
      <c r="B37" s="162">
        <f t="shared" si="4"/>
        <v>46294</v>
      </c>
      <c r="C37" s="163">
        <f t="shared" si="0"/>
        <v>46294</v>
      </c>
      <c r="D37" s="164">
        <f>IF(VLOOKUP($B37,Datenblatt!$A$43:$A$65,1,1)=$B37,0,VLOOKUP(WEEKDAY($B37),Datenblatt!$O$46:$Q$52,3,FALSE))</f>
        <v>8</v>
      </c>
      <c r="E37" s="164">
        <f>IF(VLOOKUP($B37,Datenblatt!$A$43:$A$65,1,1)=$B37,0,IF(WEEKDAY($B37)=7,1,IF(WEEKDAY($B37)=1,0,2)))</f>
        <v>2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416" t="str">
        <f>IF(VLOOKUP($B37,Datenblatt!$A$43:$A$66,1,1)=$B37,VLOOKUP($B37,Datenblatt!$A$43:$C$66,3,FALSE)," ")</f>
        <v xml:space="preserve"> </v>
      </c>
      <c r="W37" s="417"/>
      <c r="X37" s="418"/>
      <c r="AA37" s="179"/>
    </row>
    <row r="38" spans="2:128" ht="12.2" customHeight="1">
      <c r="B38" s="162">
        <f t="shared" si="4"/>
        <v>46295</v>
      </c>
      <c r="C38" s="163">
        <f t="shared" si="0"/>
        <v>46295</v>
      </c>
      <c r="D38" s="164">
        <f>IF(VLOOKUP($B38,Datenblatt!$A$43:$A$65,1,1)=$B38,0,VLOOKUP(WEEKDAY($B38),Datenblatt!$O$46:$Q$52,3,FALSE))</f>
        <v>8</v>
      </c>
      <c r="E38" s="164">
        <f>IF(VLOOKUP($B38,Datenblatt!$A$43:$A$65,1,1)=$B38,0,IF(WEEKDAY($B38)=7,1,IF(WEEKDAY($B38)=1,0,2)))</f>
        <v>2</v>
      </c>
      <c r="F38" s="165"/>
      <c r="G38" s="166"/>
      <c r="H38" s="167"/>
      <c r="I38" s="168"/>
      <c r="J38" s="167"/>
      <c r="K38" s="168"/>
      <c r="L38" s="167"/>
      <c r="M38" s="169"/>
      <c r="N38" s="170"/>
      <c r="O38" s="170"/>
      <c r="P38" s="171"/>
      <c r="Q38" s="172"/>
      <c r="R38" s="173" t="str">
        <f t="shared" si="1"/>
        <v/>
      </c>
      <c r="S38" s="174" t="str">
        <f t="shared" si="2"/>
        <v/>
      </c>
      <c r="T38" s="175" t="str">
        <f t="shared" si="3"/>
        <v/>
      </c>
      <c r="U38" s="176"/>
      <c r="V38" s="416" t="str">
        <f>IF(VLOOKUP($B38,Datenblatt!$A$43:$A$66,1,1)=$B38,VLOOKUP($B38,Datenblatt!$A$43:$C$66,3,FALSE)," ")</f>
        <v xml:space="preserve"> </v>
      </c>
      <c r="W38" s="417"/>
      <c r="X38" s="418"/>
      <c r="AA38" s="179"/>
    </row>
    <row r="39" spans="2:128" ht="12.2" customHeight="1" thickBot="1">
      <c r="B39" s="162"/>
      <c r="C39" s="163"/>
      <c r="D39" s="164"/>
      <c r="E39" s="164"/>
      <c r="F39" s="206"/>
      <c r="G39" s="207"/>
      <c r="H39" s="208"/>
      <c r="I39" s="209"/>
      <c r="J39" s="208"/>
      <c r="K39" s="209"/>
      <c r="L39" s="210"/>
      <c r="M39" s="211"/>
      <c r="N39" s="212"/>
      <c r="O39" s="212"/>
      <c r="P39" s="213"/>
      <c r="Q39" s="214"/>
      <c r="R39" s="177" t="str">
        <f t="shared" si="1"/>
        <v/>
      </c>
      <c r="S39" s="178" t="str">
        <f t="shared" si="2"/>
        <v/>
      </c>
      <c r="T39" s="175" t="str">
        <f t="shared" si="3"/>
        <v/>
      </c>
      <c r="U39" s="176"/>
      <c r="V39" s="424"/>
      <c r="W39" s="425"/>
      <c r="X39" s="426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382" t="str">
        <f>IF(Datenblatt!Q55=2,"Übertragungsmöglichkeit in den nächsten Durchrechnungszeitraum per 30.09.:  +/-"&amp;Datenblatt!Q53&amp;" h",IF(Datenblatt!Q55=3,"Übertragungsmöglichkeit in den nächsten Durchrechnungszeitraum per 30.09.:  +/-"&amp;Datenblatt!Q53&amp;" h", IF(Datenblatt!Q55=1,"", IF(Datenblatt!Q55=4,""))))</f>
        <v>Übertragungsmöglichkeit in den nächsten Durchrechnungszeitraum per 30.09.:  +/-40 h</v>
      </c>
      <c r="X40" s="339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22  Arbeitstage in diesem Monat</v>
      </c>
      <c r="C41" s="190"/>
      <c r="D41" s="215"/>
      <c r="E41" s="215"/>
      <c r="F41" s="215"/>
      <c r="G41" s="216"/>
      <c r="H41" s="215"/>
      <c r="I41" s="66"/>
      <c r="J41" s="66"/>
      <c r="K41" s="66"/>
      <c r="L41" s="66"/>
      <c r="M41" s="24" t="str">
        <f>"Sollstunden für September "&amp;Datenblatt!$F$5&amp;":"</f>
        <v>Sollstunden für September 2026:</v>
      </c>
      <c r="N41" s="66"/>
      <c r="O41" s="66"/>
      <c r="P41" s="194"/>
      <c r="R41" s="195"/>
      <c r="S41" s="398">
        <f>SUM(D9:D39)</f>
        <v>176</v>
      </c>
      <c r="T41" s="398"/>
      <c r="U41" s="196"/>
      <c r="V41" s="196"/>
      <c r="W41" s="340"/>
      <c r="X41" s="66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20" t="s">
        <v>239</v>
      </c>
      <c r="J42" s="420"/>
      <c r="K42" s="198"/>
      <c r="M42" s="198" t="str">
        <f>IF(S42&gt;=0,"Zeitguthaben im Monat September "&amp;Datenblatt!F5&amp;":   ","Zeitdefizit im Monat September "&amp;Datenblatt!F5&amp;":   ")</f>
        <v xml:space="preserve">Zeitguthaben im Monat September 2026:   </v>
      </c>
      <c r="N42" s="198"/>
      <c r="O42" s="198"/>
      <c r="R42" s="199"/>
      <c r="S42" s="421" t="s">
        <v>239</v>
      </c>
      <c r="T42" s="421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August "&amp;Datenblatt!F5-1&amp;":   ","  - Zeitdefizit aus August "&amp;Datenblatt!F5&amp;":   ")</f>
        <v xml:space="preserve">  + Zeitguthaben aus August 2025:   </v>
      </c>
      <c r="S43" s="427" t="str">
        <f>Jän!S44</f>
        <v>________ h</v>
      </c>
      <c r="T43" s="427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2" t="str">
        <f>IF(Datenblatt!Q55=2,"Korrektur des Übertrags für Oktober:",IF(Datenblatt!Q55=3,"Korrektur des Übertrags für Oktober:",IF(Datenblatt!Q55=1,"",IF(Datenblatt!Q55=4,""))))</f>
        <v>Korrektur des Übertrags für Oktober:</v>
      </c>
      <c r="S44" s="423" t="s">
        <v>239</v>
      </c>
      <c r="T44" s="423"/>
      <c r="U44" s="202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19">
        <f ca="1">TODAY()</f>
        <v>45935</v>
      </c>
      <c r="H45" s="419"/>
      <c r="I45" s="419"/>
      <c r="M45" s="198" t="str">
        <f>"Übertrag für Oktober "&amp;Datenblatt!F5</f>
        <v>Übertrag für Oktober 2026</v>
      </c>
      <c r="N45" s="2"/>
      <c r="O45" s="2"/>
      <c r="P45" s="2"/>
      <c r="Q45" s="2"/>
      <c r="R45" s="204"/>
      <c r="S45" s="423" t="s">
        <v>239</v>
      </c>
      <c r="T45" s="423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V37:X37"/>
    <mergeCell ref="V38:X38"/>
    <mergeCell ref="V39:X39"/>
    <mergeCell ref="V32:X32"/>
    <mergeCell ref="V33:X33"/>
    <mergeCell ref="V34:X34"/>
    <mergeCell ref="V35:X35"/>
    <mergeCell ref="V36:X36"/>
    <mergeCell ref="V27:X27"/>
    <mergeCell ref="V28:X28"/>
    <mergeCell ref="V29:X29"/>
    <mergeCell ref="V30:X30"/>
    <mergeCell ref="V31:X31"/>
    <mergeCell ref="V22:X22"/>
    <mergeCell ref="V23:X23"/>
    <mergeCell ref="V24:X24"/>
    <mergeCell ref="V25:X25"/>
    <mergeCell ref="V26:X26"/>
    <mergeCell ref="V17:X17"/>
    <mergeCell ref="V18:X18"/>
    <mergeCell ref="V19:X19"/>
    <mergeCell ref="V20:X20"/>
    <mergeCell ref="V21:X21"/>
    <mergeCell ref="W7:W8"/>
    <mergeCell ref="X7:X8"/>
    <mergeCell ref="S41:T41"/>
    <mergeCell ref="G45:I45"/>
    <mergeCell ref="I42:J42"/>
    <mergeCell ref="S42:T42"/>
    <mergeCell ref="S43:T43"/>
    <mergeCell ref="S45:T45"/>
    <mergeCell ref="S44:T44"/>
    <mergeCell ref="V9:X9"/>
    <mergeCell ref="V11:X11"/>
    <mergeCell ref="V12:X12"/>
    <mergeCell ref="V13:X13"/>
    <mergeCell ref="V14:X14"/>
    <mergeCell ref="V15:X15"/>
    <mergeCell ref="V16:X16"/>
    <mergeCell ref="L2:P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28" priority="1" stopIfTrue="1" operator="equal">
      <formula>MATCH($E15,0)</formula>
    </cfRule>
    <cfRule type="expression" dxfId="27" priority="2" stopIfTrue="1">
      <formula>"WOCHENTAG($B8)=1"</formula>
    </cfRule>
    <cfRule type="expression" dxfId="26" priority="3" stopIfTrue="1">
      <formula>"WOCHENTAG($B8)=7"</formula>
    </cfRule>
  </conditionalFormatting>
  <conditionalFormatting sqref="B9:C38">
    <cfRule type="expression" dxfId="25" priority="8" stopIfTrue="1">
      <formula>($E9=1)</formula>
    </cfRule>
  </conditionalFormatting>
  <conditionalFormatting sqref="V9 B9:T38 V10:X10 V11:V38">
    <cfRule type="expression" dxfId="24" priority="4" stopIfTrue="1">
      <formula>($E9=0)</formula>
    </cfRule>
    <cfRule type="expression" dxfId="23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DX48"/>
  <sheetViews>
    <sheetView showGridLines="0" workbookViewId="0">
      <pane ySplit="8" topLeftCell="A9" activePane="bottomLeft" state="frozen"/>
      <selection activeCell="V13" sqref="V13:X13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140625" style="94" customWidth="1"/>
    <col min="4" max="4" width="0.28515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399">
        <f>DATE(Datenblatt!F5,10,1)</f>
        <v>46296</v>
      </c>
      <c r="M2" s="399"/>
      <c r="N2" s="399"/>
      <c r="O2" s="399"/>
      <c r="P2" s="399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"&amp;Datenblatt!$T$46&amp;";"&amp;"    Di: "&amp;Datenblatt!$T$47&amp;";"&amp;"    Mi: "&amp;Datenblatt!$T$48&amp;";"&amp;"    Do: "&amp;Datenblatt!$T$49&amp;";"&amp;"    Fr: "&amp;Datenblatt!$T$50&amp;";"&amp;"    Sa: "&amp;Datenblatt!$T$51&amp;";"&amp;"    So: "&amp;Datenblatt!$T$52&amp;""&amp;"     -    Wochenarbeitszeit:  "&amp;Datenblatt!$T$53&amp;" h"</f>
        <v>Arbeitsstunden/Tag:  Mo: 8;    Di: 8;    Mi: 8;    Do: 8;    Fr: 8;    Sa: 0;    So: 0     -    Wochenarbeitszeit:  40 h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01" t="s">
        <v>238</v>
      </c>
      <c r="U4" s="401"/>
      <c r="V4" s="147"/>
      <c r="W4" s="148" t="str">
        <f>"Urlaubsanspruch per 01.10."&amp;Datenblatt!$F$5</f>
        <v>Urlaubsanspruch per 01.10.2026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"&amp;IF(Datenblatt!T55=1,Datenblatt!D34,IF(Datenblatt!T55=2,Datenblatt!D35,IF(Datenblatt!T55=3,Datenblatt!D36,IF(Datenblatt!T55=4,Datenblatt!D37))))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01" t="s">
        <v>238</v>
      </c>
      <c r="U5" s="401"/>
      <c r="V5" s="147"/>
      <c r="W5" s="149" t="str">
        <f>"Resturlaub per 31.10."&amp;Datenblatt!$F$5</f>
        <v>Resturlaub per 31.10.2026</v>
      </c>
      <c r="X5" s="130" t="s">
        <v>144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408" t="s">
        <v>126</v>
      </c>
      <c r="G7" s="408"/>
      <c r="H7" s="402" t="s">
        <v>127</v>
      </c>
      <c r="I7" s="402"/>
      <c r="J7" s="402"/>
      <c r="K7" s="402"/>
      <c r="L7" s="402"/>
      <c r="M7" s="402"/>
      <c r="N7" s="403" t="s">
        <v>128</v>
      </c>
      <c r="O7" s="403"/>
      <c r="P7" s="404" t="s">
        <v>129</v>
      </c>
      <c r="Q7" s="405" t="s">
        <v>130</v>
      </c>
      <c r="R7" s="150" t="s">
        <v>131</v>
      </c>
      <c r="S7" s="409" t="s">
        <v>132</v>
      </c>
      <c r="T7" s="151" t="s">
        <v>133</v>
      </c>
      <c r="U7" s="152"/>
      <c r="V7" s="350"/>
      <c r="W7" s="406" t="s">
        <v>134</v>
      </c>
      <c r="X7" s="410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04"/>
      <c r="Q8" s="405"/>
      <c r="R8" s="158" t="s">
        <v>138</v>
      </c>
      <c r="S8" s="409"/>
      <c r="T8" s="159" t="s">
        <v>138</v>
      </c>
      <c r="U8" s="160"/>
      <c r="V8" s="351"/>
      <c r="W8" s="407"/>
      <c r="X8" s="411"/>
    </row>
    <row r="9" spans="2:128" s="161" customFormat="1" ht="12.2" customHeight="1">
      <c r="B9" s="162">
        <f>L2</f>
        <v>46296</v>
      </c>
      <c r="C9" s="163">
        <f t="shared" ref="C9:C39" si="0">B9</f>
        <v>46296</v>
      </c>
      <c r="D9" s="164">
        <f>IF(VLOOKUP($B9,Datenblatt!$A$43:$A$65,1,1)=$B9,0,VLOOKUP(WEEKDAY($B9),Datenblatt!$R$46:$T$52,3,FALSE))</f>
        <v>8</v>
      </c>
      <c r="E9" s="164">
        <f>IF(VLOOKUP($B9,Datenblatt!$A$43:$A$65,1,1)=$B9,0,IF(WEEKDAY($B9)=7,1,IF(WEEKDAY($B9)=1,0,2)))</f>
        <v>2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3" t="str">
        <f>IF(VLOOKUP($B9,Datenblatt!$A$43:$A$66,1,1)=$B9,VLOOKUP($B9,Datenblatt!$A$43:$C$66,3,FALSE)," ")</f>
        <v xml:space="preserve"> </v>
      </c>
      <c r="W9" s="414"/>
      <c r="X9" s="41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9" si="4">B9+1</f>
        <v>46297</v>
      </c>
      <c r="C10" s="163">
        <f t="shared" si="0"/>
        <v>46297</v>
      </c>
      <c r="D10" s="164">
        <f>IF(VLOOKUP($B10,Datenblatt!$A$43:$A$65,1,1)=$B10,0,VLOOKUP(WEEKDAY($B10),Datenblatt!$R$46:$T$52,3,FALSE))</f>
        <v>8</v>
      </c>
      <c r="E10" s="164">
        <f>IF(VLOOKUP($B10,Datenblatt!$A$43:$A$65,1,1)=$B10,0,IF(WEEKDAY($B10)=7,1,IF(WEEKDAY($B10)=1,0,2)))</f>
        <v>2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 xml:space="preserve"> </v>
      </c>
      <c r="W10" s="379"/>
      <c r="X10" s="380"/>
    </row>
    <row r="11" spans="2:128" ht="12.2" customHeight="1">
      <c r="B11" s="162">
        <f t="shared" si="4"/>
        <v>46298</v>
      </c>
      <c r="C11" s="163">
        <f t="shared" si="0"/>
        <v>46298</v>
      </c>
      <c r="D11" s="164">
        <f>IF(VLOOKUP($B11,Datenblatt!$A$43:$A$65,1,1)=$B11,0,VLOOKUP(WEEKDAY($B11),Datenblatt!$R$46:$T$52,3,FALSE))</f>
        <v>0</v>
      </c>
      <c r="E11" s="164">
        <f>IF(VLOOKUP($B11,Datenblatt!$A$43:$A$65,1,1)=$B11,0,IF(WEEKDAY($B11)=7,1,IF(WEEKDAY($B11)=1,0,2)))</f>
        <v>1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416" t="str">
        <f>IF(VLOOKUP($B11,Datenblatt!$A$43:$A$66,1,1)=$B11,VLOOKUP($B11,Datenblatt!$A$43:$C$66,3,FALSE)," ")</f>
        <v xml:space="preserve"> </v>
      </c>
      <c r="W11" s="417"/>
      <c r="X11" s="418"/>
      <c r="AA11" s="179"/>
    </row>
    <row r="12" spans="2:128" ht="12.2" customHeight="1">
      <c r="B12" s="162">
        <f t="shared" si="4"/>
        <v>46299</v>
      </c>
      <c r="C12" s="163">
        <f t="shared" si="0"/>
        <v>46299</v>
      </c>
      <c r="D12" s="164">
        <f>IF(VLOOKUP($B12,Datenblatt!$A$43:$A$65,1,1)=$B12,0,VLOOKUP(WEEKDAY($B12),Datenblatt!$R$46:$T$52,3,FALSE))</f>
        <v>0</v>
      </c>
      <c r="E12" s="164">
        <f>IF(VLOOKUP($B12,Datenblatt!$A$43:$A$65,1,1)=$B12,0,IF(WEEKDAY($B12)=7,1,IF(WEEKDAY($B12)=1,0,2)))</f>
        <v>0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416" t="str">
        <f>IF(VLOOKUP($B12,Datenblatt!$A$43:$A$66,1,1)=$B12,VLOOKUP($B12,Datenblatt!$A$43:$C$66,3,FALSE)," ")</f>
        <v xml:space="preserve"> </v>
      </c>
      <c r="W12" s="417"/>
      <c r="X12" s="418"/>
      <c r="AA12" s="179"/>
    </row>
    <row r="13" spans="2:128" s="161" customFormat="1" ht="12.2" customHeight="1">
      <c r="B13" s="162">
        <f t="shared" si="4"/>
        <v>46300</v>
      </c>
      <c r="C13" s="163">
        <f t="shared" si="0"/>
        <v>46300</v>
      </c>
      <c r="D13" s="164">
        <f>IF(VLOOKUP($B13,Datenblatt!$A$43:$A$65,1,1)=$B13,0,VLOOKUP(WEEKDAY($B13),Datenblatt!$R$46:$T$52,3,FALSE))</f>
        <v>8</v>
      </c>
      <c r="E13" s="164">
        <f>IF(VLOOKUP($B13,Datenblatt!$A$43:$A$65,1,1)=$B13,0,IF(WEEKDAY($B13)=7,1,IF(WEEKDAY($B13)=1,0,2)))</f>
        <v>2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416" t="str">
        <f>IF(VLOOKUP($B13,Datenblatt!$A$43:$A$66,1,1)=$B13,VLOOKUP($B13,Datenblatt!$A$43:$C$66,3,FALSE)," ")</f>
        <v xml:space="preserve"> </v>
      </c>
      <c r="W13" s="417"/>
      <c r="X13" s="418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46301</v>
      </c>
      <c r="C14" s="163">
        <f t="shared" si="0"/>
        <v>46301</v>
      </c>
      <c r="D14" s="164">
        <f>IF(VLOOKUP($B14,Datenblatt!$A$43:$A$65,1,1)=$B14,0,VLOOKUP(WEEKDAY($B14),Datenblatt!$R$46:$T$52,3,FALSE))</f>
        <v>8</v>
      </c>
      <c r="E14" s="164">
        <f>IF(VLOOKUP($B14,Datenblatt!$A$43:$A$65,1,1)=$B14,0,IF(WEEKDAY($B14)=7,1,IF(WEEKDAY($B14)=1,0,2)))</f>
        <v>2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416" t="str">
        <f>IF(VLOOKUP($B14,Datenblatt!$A$43:$A$66,1,1)=$B14,VLOOKUP($B14,Datenblatt!$A$43:$C$66,3,FALSE)," ")</f>
        <v xml:space="preserve"> </v>
      </c>
      <c r="W14" s="417"/>
      <c r="X14" s="418"/>
      <c r="AA14" s="179"/>
    </row>
    <row r="15" spans="2:128" ht="12.2" customHeight="1">
      <c r="B15" s="162">
        <f t="shared" si="4"/>
        <v>46302</v>
      </c>
      <c r="C15" s="163">
        <f t="shared" si="0"/>
        <v>46302</v>
      </c>
      <c r="D15" s="164">
        <f>IF(VLOOKUP($B15,Datenblatt!$A$43:$A$65,1,1)=$B15,0,VLOOKUP(WEEKDAY($B15),Datenblatt!$R$46:$T$52,3,FALSE))</f>
        <v>8</v>
      </c>
      <c r="E15" s="164">
        <f>IF(VLOOKUP($B15,Datenblatt!$A$43:$A$65,1,1)=$B15,0,IF(WEEKDAY($B15)=7,1,IF(WEEKDAY($B15)=1,0,2)))</f>
        <v>2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416" t="str">
        <f>IF(VLOOKUP($B15,Datenblatt!$A$43:$A$66,1,1)=$B15,VLOOKUP($B15,Datenblatt!$A$43:$C$66,3,FALSE)," ")</f>
        <v xml:space="preserve"> </v>
      </c>
      <c r="W15" s="417"/>
      <c r="X15" s="418"/>
      <c r="AA15" s="179"/>
    </row>
    <row r="16" spans="2:128" ht="12.2" customHeight="1">
      <c r="B16" s="162">
        <f t="shared" si="4"/>
        <v>46303</v>
      </c>
      <c r="C16" s="163">
        <f t="shared" si="0"/>
        <v>46303</v>
      </c>
      <c r="D16" s="164">
        <f>IF(VLOOKUP($B16,Datenblatt!$A$43:$A$65,1,1)=$B16,0,VLOOKUP(WEEKDAY($B16),Datenblatt!$R$46:$T$52,3,FALSE))</f>
        <v>8</v>
      </c>
      <c r="E16" s="164">
        <f>IF(VLOOKUP($B16,Datenblatt!$A$43:$A$65,1,1)=$B16,0,IF(WEEKDAY($B16)=7,1,IF(WEEKDAY($B16)=1,0,2)))</f>
        <v>2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416" t="str">
        <f>IF(VLOOKUP($B16,Datenblatt!$A$43:$A$66,1,1)=$B16,VLOOKUP($B16,Datenblatt!$A$43:$C$66,3,FALSE)," ")</f>
        <v xml:space="preserve"> </v>
      </c>
      <c r="W16" s="417"/>
      <c r="X16" s="418"/>
      <c r="AA16" s="179"/>
    </row>
    <row r="17" spans="2:128" ht="12.2" customHeight="1">
      <c r="B17" s="162">
        <f t="shared" si="4"/>
        <v>46304</v>
      </c>
      <c r="C17" s="163">
        <f t="shared" si="0"/>
        <v>46304</v>
      </c>
      <c r="D17" s="164">
        <f>IF(VLOOKUP($B17,Datenblatt!$A$43:$A$65,1,1)=$B17,0,VLOOKUP(WEEKDAY($B17),Datenblatt!$R$46:$T$52,3,FALSE))</f>
        <v>8</v>
      </c>
      <c r="E17" s="164">
        <f>IF(VLOOKUP($B17,Datenblatt!$A$43:$A$65,1,1)=$B17,0,IF(WEEKDAY($B17)=7,1,IF(WEEKDAY($B17)=1,0,2)))</f>
        <v>2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416" t="str">
        <f>IF(VLOOKUP($B17,Datenblatt!$A$43:$A$66,1,1)=$B17,VLOOKUP($B17,Datenblatt!$A$43:$C$66,3,FALSE)," ")</f>
        <v xml:space="preserve"> </v>
      </c>
      <c r="W17" s="417"/>
      <c r="X17" s="418"/>
      <c r="AA17" s="179"/>
    </row>
    <row r="18" spans="2:128" ht="12.2" customHeight="1">
      <c r="B18" s="162">
        <f t="shared" si="4"/>
        <v>46305</v>
      </c>
      <c r="C18" s="163">
        <f t="shared" si="0"/>
        <v>46305</v>
      </c>
      <c r="D18" s="164">
        <f>IF(VLOOKUP($B18,Datenblatt!$A$43:$A$65,1,1)=$B18,0,VLOOKUP(WEEKDAY($B18),Datenblatt!$R$46:$T$52,3,FALSE))</f>
        <v>0</v>
      </c>
      <c r="E18" s="164">
        <f>IF(VLOOKUP($B18,Datenblatt!$A$43:$A$65,1,1)=$B18,0,IF(WEEKDAY($B18)=7,1,IF(WEEKDAY($B18)=1,0,2)))</f>
        <v>1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416" t="str">
        <f>IF(VLOOKUP($B18,Datenblatt!$A$43:$A$66,1,1)=$B18,VLOOKUP($B18,Datenblatt!$A$43:$C$66,3,FALSE)," ")</f>
        <v xml:space="preserve"> </v>
      </c>
      <c r="W18" s="417"/>
      <c r="X18" s="418"/>
      <c r="AA18" s="179"/>
    </row>
    <row r="19" spans="2:128" ht="12.2" customHeight="1">
      <c r="B19" s="162">
        <f t="shared" si="4"/>
        <v>46306</v>
      </c>
      <c r="C19" s="163">
        <f t="shared" si="0"/>
        <v>46306</v>
      </c>
      <c r="D19" s="164">
        <f>IF(VLOOKUP($B19,Datenblatt!$A$43:$A$65,1,1)=$B19,0,VLOOKUP(WEEKDAY($B19),Datenblatt!$R$46:$T$52,3,FALSE))</f>
        <v>0</v>
      </c>
      <c r="E19" s="164">
        <f>IF(VLOOKUP($B19,Datenblatt!$A$43:$A$65,1,1)=$B19,0,IF(WEEKDAY($B19)=7,1,IF(WEEKDAY($B19)=1,0,2)))</f>
        <v>0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416" t="str">
        <f>IF(VLOOKUP($B19,Datenblatt!$A$43:$A$66,1,1)=$B19,VLOOKUP($B19,Datenblatt!$A$43:$C$66,3,FALSE)," ")</f>
        <v xml:space="preserve"> </v>
      </c>
      <c r="W19" s="417"/>
      <c r="X19" s="418"/>
      <c r="AA19" s="179"/>
    </row>
    <row r="20" spans="2:128" ht="12.2" customHeight="1">
      <c r="B20" s="162">
        <f t="shared" si="4"/>
        <v>46307</v>
      </c>
      <c r="C20" s="163">
        <f t="shared" si="0"/>
        <v>46307</v>
      </c>
      <c r="D20" s="164">
        <f>IF(VLOOKUP($B20,Datenblatt!$A$43:$A$65,1,1)=$B20,0,VLOOKUP(WEEKDAY($B20),Datenblatt!$R$46:$T$52,3,FALSE))</f>
        <v>8</v>
      </c>
      <c r="E20" s="164">
        <f>IF(VLOOKUP($B20,Datenblatt!$A$43:$A$65,1,1)=$B20,0,IF(WEEKDAY($B20)=7,1,IF(WEEKDAY($B20)=1,0,2)))</f>
        <v>2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416" t="str">
        <f>IF(VLOOKUP($B20,Datenblatt!$A$43:$A$66,1,1)=$B20,VLOOKUP($B20,Datenblatt!$A$43:$C$66,3,FALSE)," ")</f>
        <v xml:space="preserve"> </v>
      </c>
      <c r="W20" s="417"/>
      <c r="X20" s="418"/>
      <c r="AA20" s="179"/>
    </row>
    <row r="21" spans="2:128" ht="12.2" customHeight="1">
      <c r="B21" s="162">
        <f t="shared" si="4"/>
        <v>46308</v>
      </c>
      <c r="C21" s="163">
        <f t="shared" si="0"/>
        <v>46308</v>
      </c>
      <c r="D21" s="164">
        <f>IF(VLOOKUP($B21,Datenblatt!$A$43:$A$65,1,1)=$B21,0,VLOOKUP(WEEKDAY($B21),Datenblatt!$R$46:$T$52,3,FALSE))</f>
        <v>8</v>
      </c>
      <c r="E21" s="164">
        <f>IF(VLOOKUP($B21,Datenblatt!$A$43:$A$65,1,1)=$B21,0,IF(WEEKDAY($B21)=7,1,IF(WEEKDAY($B21)=1,0,2)))</f>
        <v>2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416" t="str">
        <f>IF(VLOOKUP($B21,Datenblatt!$A$43:$A$66,1,1)=$B21,VLOOKUP($B21,Datenblatt!$A$43:$C$66,3,FALSE)," ")</f>
        <v xml:space="preserve"> </v>
      </c>
      <c r="W21" s="417"/>
      <c r="X21" s="418"/>
      <c r="AA21" s="179"/>
    </row>
    <row r="22" spans="2:128" s="180" customFormat="1" ht="12.2" customHeight="1">
      <c r="B22" s="162">
        <f t="shared" si="4"/>
        <v>46309</v>
      </c>
      <c r="C22" s="163">
        <f t="shared" si="0"/>
        <v>46309</v>
      </c>
      <c r="D22" s="164">
        <f>IF(VLOOKUP($B22,Datenblatt!$A$43:$A$65,1,1)=$B22,0,VLOOKUP(WEEKDAY($B22),Datenblatt!$R$46:$T$52,3,FALSE))</f>
        <v>8</v>
      </c>
      <c r="E22" s="164">
        <f>IF(VLOOKUP($B22,Datenblatt!$A$43:$A$65,1,1)=$B22,0,IF(WEEKDAY($B22)=7,1,IF(WEEKDAY($B22)=1,0,2)))</f>
        <v>2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416" t="str">
        <f>IF(VLOOKUP($B22,Datenblatt!$A$43:$A$66,1,1)=$B22,VLOOKUP($B22,Datenblatt!$A$43:$C$66,3,FALSE)," ")</f>
        <v xml:space="preserve"> </v>
      </c>
      <c r="W22" s="417"/>
      <c r="X22" s="418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46310</v>
      </c>
      <c r="C23" s="163">
        <f t="shared" si="0"/>
        <v>46310</v>
      </c>
      <c r="D23" s="164">
        <f>IF(VLOOKUP($B23,Datenblatt!$A$43:$A$65,1,1)=$B23,0,VLOOKUP(WEEKDAY($B23),Datenblatt!$R$46:$T$52,3,FALSE))</f>
        <v>8</v>
      </c>
      <c r="E23" s="164">
        <f>IF(VLOOKUP($B23,Datenblatt!$A$43:$A$65,1,1)=$B23,0,IF(WEEKDAY($B23)=7,1,IF(WEEKDAY($B23)=1,0,2)))</f>
        <v>2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416" t="str">
        <f>IF(VLOOKUP($B23,Datenblatt!$A$43:$A$66,1,1)=$B23,VLOOKUP($B23,Datenblatt!$A$43:$C$66,3,FALSE)," ")</f>
        <v xml:space="preserve"> </v>
      </c>
      <c r="W23" s="417"/>
      <c r="X23" s="418"/>
      <c r="AA23" s="179"/>
    </row>
    <row r="24" spans="2:128" ht="12.2" customHeight="1">
      <c r="B24" s="162">
        <f t="shared" si="4"/>
        <v>46311</v>
      </c>
      <c r="C24" s="163">
        <f t="shared" si="0"/>
        <v>46311</v>
      </c>
      <c r="D24" s="164">
        <f>IF(VLOOKUP($B24,Datenblatt!$A$43:$A$65,1,1)=$B24,0,VLOOKUP(WEEKDAY($B24),Datenblatt!$R$46:$T$52,3,FALSE))</f>
        <v>8</v>
      </c>
      <c r="E24" s="164">
        <f>IF(VLOOKUP($B24,Datenblatt!$A$43:$A$65,1,1)=$B24,0,IF(WEEKDAY($B24)=7,1,IF(WEEKDAY($B24)=1,0,2)))</f>
        <v>2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416" t="str">
        <f>IF(VLOOKUP($B24,Datenblatt!$A$43:$A$66,1,1)=$B24,VLOOKUP($B24,Datenblatt!$A$43:$C$66,3,FALSE)," ")</f>
        <v xml:space="preserve"> </v>
      </c>
      <c r="W24" s="417"/>
      <c r="X24" s="418"/>
      <c r="AA24" s="179"/>
    </row>
    <row r="25" spans="2:128" ht="12.2" customHeight="1">
      <c r="B25" s="162">
        <f t="shared" si="4"/>
        <v>46312</v>
      </c>
      <c r="C25" s="163">
        <f t="shared" si="0"/>
        <v>46312</v>
      </c>
      <c r="D25" s="164">
        <f>IF(VLOOKUP($B25,Datenblatt!$A$43:$A$65,1,1)=$B25,0,VLOOKUP(WEEKDAY($B25),Datenblatt!$R$46:$T$52,3,FALSE))</f>
        <v>0</v>
      </c>
      <c r="E25" s="164">
        <f>IF(VLOOKUP($B25,Datenblatt!$A$43:$A$65,1,1)=$B25,0,IF(WEEKDAY($B25)=7,1,IF(WEEKDAY($B25)=1,0,2)))</f>
        <v>1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416" t="str">
        <f>IF(VLOOKUP($B25,Datenblatt!$A$43:$A$66,1,1)=$B25,VLOOKUP($B25,Datenblatt!$A$43:$C$66,3,FALSE)," ")</f>
        <v xml:space="preserve"> </v>
      </c>
      <c r="W25" s="417"/>
      <c r="X25" s="418"/>
      <c r="AA25" s="179"/>
    </row>
    <row r="26" spans="2:128" ht="12.2" customHeight="1">
      <c r="B26" s="162">
        <f t="shared" si="4"/>
        <v>46313</v>
      </c>
      <c r="C26" s="163">
        <f t="shared" si="0"/>
        <v>46313</v>
      </c>
      <c r="D26" s="164">
        <f>IF(VLOOKUP($B26,Datenblatt!$A$43:$A$65,1,1)=$B26,0,VLOOKUP(WEEKDAY($B26),Datenblatt!$R$46:$T$52,3,FALSE))</f>
        <v>0</v>
      </c>
      <c r="E26" s="164">
        <f>IF(VLOOKUP($B26,Datenblatt!$A$43:$A$65,1,1)=$B26,0,IF(WEEKDAY($B26)=7,1,IF(WEEKDAY($B26)=1,0,2)))</f>
        <v>0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416" t="str">
        <f>IF(VLOOKUP($B26,Datenblatt!$A$43:$A$66,1,1)=$B26,VLOOKUP($B26,Datenblatt!$A$43:$C$66,3,FALSE)," ")</f>
        <v xml:space="preserve"> </v>
      </c>
      <c r="W26" s="417"/>
      <c r="X26" s="418"/>
      <c r="AA26" s="179"/>
    </row>
    <row r="27" spans="2:128" ht="12.2" customHeight="1">
      <c r="B27" s="162">
        <f t="shared" si="4"/>
        <v>46314</v>
      </c>
      <c r="C27" s="163">
        <f t="shared" si="0"/>
        <v>46314</v>
      </c>
      <c r="D27" s="164">
        <f>IF(VLOOKUP($B27,Datenblatt!$A$43:$A$65,1,1)=$B27,0,VLOOKUP(WEEKDAY($B27),Datenblatt!$R$46:$T$52,3,FALSE))</f>
        <v>8</v>
      </c>
      <c r="E27" s="164">
        <f>IF(VLOOKUP($B27,Datenblatt!$A$43:$A$65,1,1)=$B27,0,IF(WEEKDAY($B27)=7,1,IF(WEEKDAY($B27)=1,0,2)))</f>
        <v>2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416" t="str">
        <f>IF(VLOOKUP($B27,Datenblatt!$A$43:$A$66,1,1)=$B27,VLOOKUP($B27,Datenblatt!$A$43:$C$66,3,FALSE)," ")</f>
        <v xml:space="preserve"> </v>
      </c>
      <c r="W27" s="417"/>
      <c r="X27" s="418"/>
      <c r="AA27" s="179"/>
    </row>
    <row r="28" spans="2:128" ht="12.2" customHeight="1">
      <c r="B28" s="162">
        <f t="shared" si="4"/>
        <v>46315</v>
      </c>
      <c r="C28" s="163">
        <f t="shared" si="0"/>
        <v>46315</v>
      </c>
      <c r="D28" s="164">
        <f>IF(VLOOKUP($B28,Datenblatt!$A$43:$A$65,1,1)=$B28,0,VLOOKUP(WEEKDAY($B28),Datenblatt!$R$46:$T$52,3,FALSE))</f>
        <v>8</v>
      </c>
      <c r="E28" s="164">
        <f>IF(VLOOKUP($B28,Datenblatt!$A$43:$A$65,1,1)=$B28,0,IF(WEEKDAY($B28)=7,1,IF(WEEKDAY($B28)=1,0,2)))</f>
        <v>2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416" t="str">
        <f>IF(VLOOKUP($B28,Datenblatt!$A$43:$A$66,1,1)=$B28,VLOOKUP($B28,Datenblatt!$A$43:$C$66,3,FALSE)," ")</f>
        <v xml:space="preserve"> </v>
      </c>
      <c r="W28" s="417"/>
      <c r="X28" s="418"/>
      <c r="AA28" s="179"/>
    </row>
    <row r="29" spans="2:128" ht="12.2" customHeight="1">
      <c r="B29" s="162">
        <f t="shared" si="4"/>
        <v>46316</v>
      </c>
      <c r="C29" s="163">
        <f t="shared" si="0"/>
        <v>46316</v>
      </c>
      <c r="D29" s="164">
        <f>IF(VLOOKUP($B29,Datenblatt!$A$43:$A$65,1,1)=$B29,0,VLOOKUP(WEEKDAY($B29),Datenblatt!$R$46:$T$52,3,FALSE))</f>
        <v>8</v>
      </c>
      <c r="E29" s="164">
        <f>IF(VLOOKUP($B29,Datenblatt!$A$43:$A$65,1,1)=$B29,0,IF(WEEKDAY($B29)=7,1,IF(WEEKDAY($B29)=1,0,2)))</f>
        <v>2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416" t="str">
        <f>IF(VLOOKUP($B29,Datenblatt!$A$43:$A$66,1,1)=$B29,VLOOKUP($B29,Datenblatt!$A$43:$C$66,3,FALSE)," ")</f>
        <v xml:space="preserve"> </v>
      </c>
      <c r="W29" s="417"/>
      <c r="X29" s="418"/>
      <c r="AA29" s="179"/>
    </row>
    <row r="30" spans="2:128" ht="12.2" customHeight="1">
      <c r="B30" s="162">
        <f t="shared" si="4"/>
        <v>46317</v>
      </c>
      <c r="C30" s="163">
        <f t="shared" si="0"/>
        <v>46317</v>
      </c>
      <c r="D30" s="164">
        <f>IF(VLOOKUP($B30,Datenblatt!$A$43:$A$65,1,1)=$B30,0,VLOOKUP(WEEKDAY($B30),Datenblatt!$R$46:$T$52,3,FALSE))</f>
        <v>8</v>
      </c>
      <c r="E30" s="164">
        <f>IF(VLOOKUP($B30,Datenblatt!$A$43:$A$65,1,1)=$B30,0,IF(WEEKDAY($B30)=7,1,IF(WEEKDAY($B30)=1,0,2)))</f>
        <v>2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416" t="str">
        <f>IF(VLOOKUP($B30,Datenblatt!$A$43:$A$66,1,1)=$B30,VLOOKUP($B30,Datenblatt!$A$43:$C$66,3,FALSE)," ")</f>
        <v xml:space="preserve"> </v>
      </c>
      <c r="W30" s="417"/>
      <c r="X30" s="418"/>
      <c r="AA30" s="179"/>
    </row>
    <row r="31" spans="2:128" ht="12.2" customHeight="1">
      <c r="B31" s="162">
        <f t="shared" si="4"/>
        <v>46318</v>
      </c>
      <c r="C31" s="163">
        <f t="shared" si="0"/>
        <v>46318</v>
      </c>
      <c r="D31" s="164">
        <f>IF(VLOOKUP($B31,Datenblatt!$A$43:$A$65,1,1)=$B31,0,VLOOKUP(WEEKDAY($B31),Datenblatt!$R$46:$T$52,3,FALSE))</f>
        <v>8</v>
      </c>
      <c r="E31" s="164">
        <f>IF(VLOOKUP($B31,Datenblatt!$A$43:$A$65,1,1)=$B31,0,IF(WEEKDAY($B31)=7,1,IF(WEEKDAY($B31)=1,0,2)))</f>
        <v>2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416" t="str">
        <f>IF(VLOOKUP($B31,Datenblatt!$A$43:$A$66,1,1)=$B31,VLOOKUP($B31,Datenblatt!$A$43:$C$66,3,FALSE)," ")</f>
        <v xml:space="preserve"> </v>
      </c>
      <c r="W31" s="417"/>
      <c r="X31" s="418"/>
      <c r="AA31" s="179"/>
    </row>
    <row r="32" spans="2:128" ht="12.2" customHeight="1">
      <c r="B32" s="162">
        <f t="shared" si="4"/>
        <v>46319</v>
      </c>
      <c r="C32" s="163">
        <f t="shared" si="0"/>
        <v>46319</v>
      </c>
      <c r="D32" s="164">
        <f>IF(VLOOKUP($B32,Datenblatt!$A$43:$A$65,1,1)=$B32,0,VLOOKUP(WEEKDAY($B32),Datenblatt!$R$46:$T$52,3,FALSE))</f>
        <v>0</v>
      </c>
      <c r="E32" s="164">
        <f>IF(VLOOKUP($B32,Datenblatt!$A$43:$A$65,1,1)=$B32,0,IF(WEEKDAY($B32)=7,1,IF(WEEKDAY($B32)=1,0,2)))</f>
        <v>1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416" t="str">
        <f>IF(VLOOKUP($B32,Datenblatt!$A$43:$A$66,1,1)=$B32,VLOOKUP($B32,Datenblatt!$A$43:$C$66,3,FALSE)," ")</f>
        <v xml:space="preserve"> </v>
      </c>
      <c r="W32" s="417"/>
      <c r="X32" s="418"/>
      <c r="AA32" s="179"/>
    </row>
    <row r="33" spans="2:128" ht="12.2" customHeight="1">
      <c r="B33" s="162">
        <f t="shared" si="4"/>
        <v>46320</v>
      </c>
      <c r="C33" s="163">
        <f t="shared" si="0"/>
        <v>46320</v>
      </c>
      <c r="D33" s="164">
        <f>IF(VLOOKUP($B33,Datenblatt!$A$43:$A$65,1,1)=$B33,0,VLOOKUP(WEEKDAY($B33),Datenblatt!$R$46:$T$52,3,FALSE))</f>
        <v>0</v>
      </c>
      <c r="E33" s="164">
        <f>IF(VLOOKUP($B33,Datenblatt!$A$43:$A$65,1,1)=$B33,0,IF(WEEKDAY($B33)=7,1,IF(WEEKDAY($B33)=1,0,2)))</f>
        <v>0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416" t="str">
        <f>IF(VLOOKUP($B33,Datenblatt!$A$43:$A$66,1,1)=$B33,VLOOKUP($B33,Datenblatt!$A$43:$C$66,3,FALSE)," ")</f>
        <v xml:space="preserve"> </v>
      </c>
      <c r="W33" s="417"/>
      <c r="X33" s="418"/>
      <c r="AA33" s="179"/>
    </row>
    <row r="34" spans="2:128" ht="12.2" customHeight="1">
      <c r="B34" s="162">
        <f t="shared" si="4"/>
        <v>46321</v>
      </c>
      <c r="C34" s="163">
        <f t="shared" si="0"/>
        <v>46321</v>
      </c>
      <c r="D34" s="164">
        <f>IF(VLOOKUP($B34,Datenblatt!$A$43:$A$65,1,1)=$B34,0,VLOOKUP(WEEKDAY($B34),Datenblatt!$R$46:$T$52,3,FALSE))</f>
        <v>0</v>
      </c>
      <c r="E34" s="164">
        <f>IF(VLOOKUP($B34,Datenblatt!$A$43:$A$65,1,1)=$B34,0,IF(WEEKDAY($B34)=7,1,IF(WEEKDAY($B34)=1,0,2)))</f>
        <v>0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416" t="str">
        <f>IF(VLOOKUP($B34,Datenblatt!$A$43:$A$66,1,1)=$B34,VLOOKUP($B34,Datenblatt!$A$43:$C$66,3,FALSE)," ")</f>
        <v>Nationalfeiertag</v>
      </c>
      <c r="W34" s="417"/>
      <c r="X34" s="418"/>
      <c r="AA34" s="179"/>
    </row>
    <row r="35" spans="2:128" ht="12.2" customHeight="1">
      <c r="B35" s="162">
        <f t="shared" si="4"/>
        <v>46322</v>
      </c>
      <c r="C35" s="163">
        <f t="shared" si="0"/>
        <v>46322</v>
      </c>
      <c r="D35" s="164">
        <f>IF(VLOOKUP($B35,Datenblatt!$A$43:$A$65,1,1)=$B35,0,VLOOKUP(WEEKDAY($B35),Datenblatt!$R$46:$T$52,3,FALSE))</f>
        <v>8</v>
      </c>
      <c r="E35" s="164">
        <f>IF(VLOOKUP($B35,Datenblatt!$A$43:$A$65,1,1)=$B35,0,IF(WEEKDAY($B35)=7,1,IF(WEEKDAY($B35)=1,0,2)))</f>
        <v>2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416" t="str">
        <f>IF(VLOOKUP($B35,Datenblatt!$A$43:$A$66,1,1)=$B35,VLOOKUP($B35,Datenblatt!$A$43:$C$66,3,FALSE)," ")</f>
        <v xml:space="preserve"> </v>
      </c>
      <c r="W35" s="417"/>
      <c r="X35" s="418"/>
      <c r="AA35" s="179"/>
    </row>
    <row r="36" spans="2:128" ht="12.2" customHeight="1">
      <c r="B36" s="162">
        <f t="shared" si="4"/>
        <v>46323</v>
      </c>
      <c r="C36" s="163">
        <f t="shared" si="0"/>
        <v>46323</v>
      </c>
      <c r="D36" s="164">
        <f>IF(VLOOKUP($B36,Datenblatt!$A$43:$A$65,1,1)=$B36,0,VLOOKUP(WEEKDAY($B36),Datenblatt!$R$46:$T$52,3,FALSE))</f>
        <v>8</v>
      </c>
      <c r="E36" s="164">
        <f>IF(VLOOKUP($B36,Datenblatt!$A$43:$A$65,1,1)=$B36,0,IF(WEEKDAY($B36)=7,1,IF(WEEKDAY($B36)=1,0,2)))</f>
        <v>2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416" t="str">
        <f>IF(VLOOKUP($B36,Datenblatt!$A$43:$A$66,1,1)=$B36,VLOOKUP($B36,Datenblatt!$A$43:$C$66,3,FALSE)," ")</f>
        <v xml:space="preserve"> </v>
      </c>
      <c r="W36" s="417"/>
      <c r="X36" s="418"/>
      <c r="AA36" s="179"/>
    </row>
    <row r="37" spans="2:128" ht="12.2" customHeight="1">
      <c r="B37" s="162">
        <f t="shared" si="4"/>
        <v>46324</v>
      </c>
      <c r="C37" s="163">
        <f t="shared" si="0"/>
        <v>46324</v>
      </c>
      <c r="D37" s="164">
        <f>IF(VLOOKUP($B37,Datenblatt!$A$43:$A$65,1,1)=$B37,0,VLOOKUP(WEEKDAY($B37),Datenblatt!$R$46:$T$52,3,FALSE))</f>
        <v>8</v>
      </c>
      <c r="E37" s="164">
        <f>IF(VLOOKUP($B37,Datenblatt!$A$43:$A$65,1,1)=$B37,0,IF(WEEKDAY($B37)=7,1,IF(WEEKDAY($B37)=1,0,2)))</f>
        <v>2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416" t="str">
        <f>IF(VLOOKUP($B37,Datenblatt!$A$43:$A$66,1,1)=$B37,VLOOKUP($B37,Datenblatt!$A$43:$C$66,3,FALSE)," ")</f>
        <v xml:space="preserve"> </v>
      </c>
      <c r="W37" s="417"/>
      <c r="X37" s="418"/>
      <c r="AA37" s="179"/>
    </row>
    <row r="38" spans="2:128" ht="12.2" customHeight="1">
      <c r="B38" s="162">
        <f t="shared" si="4"/>
        <v>46325</v>
      </c>
      <c r="C38" s="163">
        <f t="shared" si="0"/>
        <v>46325</v>
      </c>
      <c r="D38" s="164">
        <f>IF(VLOOKUP($B38,Datenblatt!$A$43:$A$65,1,1)=$B38,0,VLOOKUP(WEEKDAY($B38),Datenblatt!$R$46:$T$52,3,FALSE))</f>
        <v>8</v>
      </c>
      <c r="E38" s="164">
        <f>IF(VLOOKUP($B38,Datenblatt!$A$43:$A$65,1,1)=$B38,0,IF(WEEKDAY($B38)=7,1,IF(WEEKDAY($B38)=1,0,2)))</f>
        <v>2</v>
      </c>
      <c r="F38" s="165"/>
      <c r="G38" s="166"/>
      <c r="H38" s="167"/>
      <c r="I38" s="168"/>
      <c r="J38" s="167"/>
      <c r="K38" s="168"/>
      <c r="L38" s="167"/>
      <c r="M38" s="169"/>
      <c r="N38" s="170"/>
      <c r="O38" s="170"/>
      <c r="P38" s="171"/>
      <c r="Q38" s="172"/>
      <c r="R38" s="173" t="str">
        <f t="shared" si="1"/>
        <v/>
      </c>
      <c r="S38" s="174" t="str">
        <f t="shared" si="2"/>
        <v/>
      </c>
      <c r="T38" s="175" t="str">
        <f t="shared" si="3"/>
        <v/>
      </c>
      <c r="U38" s="176"/>
      <c r="V38" s="416" t="str">
        <f>IF(VLOOKUP($B38,Datenblatt!$A$43:$A$66,1,1)=$B38,VLOOKUP($B38,Datenblatt!$A$43:$C$66,3,FALSE)," ")</f>
        <v xml:space="preserve"> </v>
      </c>
      <c r="W38" s="417"/>
      <c r="X38" s="418"/>
      <c r="AA38" s="179"/>
    </row>
    <row r="39" spans="2:128" ht="12.2" customHeight="1" thickBot="1">
      <c r="B39" s="162">
        <f t="shared" si="4"/>
        <v>46326</v>
      </c>
      <c r="C39" s="163">
        <f t="shared" si="0"/>
        <v>46326</v>
      </c>
      <c r="D39" s="164">
        <f>IF(VLOOKUP($B39,Datenblatt!$A$43:$A$65,1,1)=$B39,0,VLOOKUP(WEEKDAY($B39),Datenblatt!$R$46:$T$52,3,FALSE))</f>
        <v>0</v>
      </c>
      <c r="E39" s="164">
        <f>IF(VLOOKUP($B39,Datenblatt!$A$43:$A$65,1,1)=$B39,0,IF(WEEKDAY($B39)=7,1,IF(WEEKDAY($B39)=1,0,2)))</f>
        <v>1</v>
      </c>
      <c r="F39" s="165"/>
      <c r="G39" s="166"/>
      <c r="H39" s="167"/>
      <c r="I39" s="168"/>
      <c r="J39" s="167"/>
      <c r="K39" s="168"/>
      <c r="L39" s="167"/>
      <c r="M39" s="169"/>
      <c r="N39" s="170"/>
      <c r="O39" s="170"/>
      <c r="P39" s="171"/>
      <c r="Q39" s="172"/>
      <c r="R39" s="173" t="str">
        <f t="shared" si="1"/>
        <v/>
      </c>
      <c r="S39" s="174" t="str">
        <f t="shared" si="2"/>
        <v/>
      </c>
      <c r="T39" s="175" t="str">
        <f t="shared" si="3"/>
        <v/>
      </c>
      <c r="U39" s="176"/>
      <c r="V39" s="424" t="str">
        <f>IF(VLOOKUP($B39,Datenblatt!$A$43:$A$66,1,1)=$B39,VLOOKUP($B39,Datenblatt!$A$43:$C$66,3,FALSE)," ")</f>
        <v xml:space="preserve"> </v>
      </c>
      <c r="W39" s="425"/>
      <c r="X39" s="426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412"/>
      <c r="X40" s="41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21  Arbeitstage in diesem Monat</v>
      </c>
      <c r="C41" s="190"/>
      <c r="D41" s="215"/>
      <c r="E41" s="215"/>
      <c r="F41" s="215"/>
      <c r="G41" s="216"/>
      <c r="H41" s="215"/>
      <c r="I41" s="66"/>
      <c r="J41" s="66"/>
      <c r="K41" s="66"/>
      <c r="L41" s="66"/>
      <c r="M41" s="24" t="str">
        <f>"Sollstunden für Oktober "&amp;Datenblatt!$F$5&amp;":"</f>
        <v>Sollstunden für Oktober 2026:</v>
      </c>
      <c r="N41" s="66"/>
      <c r="O41" s="66"/>
      <c r="P41" s="194"/>
      <c r="R41" s="195"/>
      <c r="S41" s="398">
        <f>SUM(D9:D39)</f>
        <v>168</v>
      </c>
      <c r="T41" s="398"/>
      <c r="U41" s="196"/>
      <c r="V41" s="196"/>
      <c r="W41" s="197"/>
      <c r="X41" s="130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20" t="s">
        <v>239</v>
      </c>
      <c r="J42" s="420"/>
      <c r="K42" s="198"/>
      <c r="M42" s="198" t="str">
        <f>IF(S42&gt;=0,"Zeitguthaben im Monat Oktober "&amp;Datenblatt!F5&amp;":   ","Zeitdefizit im Monat Oktober "&amp;Datenblatt!F5&amp;":   ")</f>
        <v xml:space="preserve">Zeitguthaben im Monat Oktober 2026:   </v>
      </c>
      <c r="N42" s="198"/>
      <c r="O42" s="198"/>
      <c r="R42" s="199"/>
      <c r="S42" s="421" t="s">
        <v>239</v>
      </c>
      <c r="T42" s="421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September "&amp;Datenblatt!F5-1&amp;":   ","  - Zeitdefizit aus September "&amp;Datenblatt!F5&amp;":   ")</f>
        <v xml:space="preserve">  + Zeitguthaben aus September 2025:   </v>
      </c>
      <c r="S43" s="427" t="str">
        <f>Jän!S44</f>
        <v>________ h</v>
      </c>
      <c r="T43" s="427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198" t="str">
        <f>"Übertrag für November "&amp;Datenblatt!F5</f>
        <v>Übertrag für November 2026</v>
      </c>
      <c r="R44" s="204"/>
      <c r="S44" s="423" t="s">
        <v>239</v>
      </c>
      <c r="T44" s="423"/>
      <c r="U44" s="200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19">
        <f ca="1">TODAY()</f>
        <v>45935</v>
      </c>
      <c r="H45" s="419"/>
      <c r="I45" s="419"/>
      <c r="T45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G45:I45"/>
    <mergeCell ref="I42:J42"/>
    <mergeCell ref="S42:T42"/>
    <mergeCell ref="S43:T43"/>
    <mergeCell ref="S44:T44"/>
    <mergeCell ref="W7:W8"/>
    <mergeCell ref="F7:G7"/>
    <mergeCell ref="S7:S8"/>
    <mergeCell ref="X7:X8"/>
    <mergeCell ref="W40:X40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S41:T41"/>
    <mergeCell ref="L2:P2"/>
    <mergeCell ref="T4:U4"/>
    <mergeCell ref="T5:U5"/>
    <mergeCell ref="H7:M7"/>
    <mergeCell ref="N7:O7"/>
    <mergeCell ref="P7:P8"/>
    <mergeCell ref="Q7:Q8"/>
  </mergeCells>
  <phoneticPr fontId="2" type="noConversion"/>
  <conditionalFormatting sqref="A15 DY15:IV15">
    <cfRule type="cellIs" dxfId="22" priority="1" stopIfTrue="1" operator="equal">
      <formula>MATCH($E15,0)</formula>
    </cfRule>
    <cfRule type="expression" dxfId="21" priority="2" stopIfTrue="1">
      <formula>"WOCHENTAG($B8)=1"</formula>
    </cfRule>
    <cfRule type="expression" dxfId="20" priority="3" stopIfTrue="1">
      <formula>"WOCHENTAG($B8)=7"</formula>
    </cfRule>
  </conditionalFormatting>
  <conditionalFormatting sqref="B9:C39">
    <cfRule type="expression" dxfId="19" priority="8" stopIfTrue="1">
      <formula>($E9=1)</formula>
    </cfRule>
  </conditionalFormatting>
  <conditionalFormatting sqref="V9 B9:T39 V10:X10 V11:V39">
    <cfRule type="expression" dxfId="18" priority="4" stopIfTrue="1">
      <formula>($E9=0)</formula>
    </cfRule>
    <cfRule type="expression" dxfId="17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DX48"/>
  <sheetViews>
    <sheetView showGridLines="0" workbookViewId="0">
      <pane ySplit="8" topLeftCell="A9" activePane="bottomLeft" state="frozen"/>
      <selection activeCell="V13" sqref="V13:X13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140625" style="94" customWidth="1"/>
    <col min="4" max="4" width="0.28515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399">
        <f>DATE(Datenblatt!F5,11,1)</f>
        <v>46327</v>
      </c>
      <c r="M2" s="399"/>
      <c r="N2" s="399"/>
      <c r="O2" s="399"/>
      <c r="P2" s="399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"&amp;Datenblatt!$W$46&amp;";"&amp;"    Di: "&amp;Datenblatt!$W$47&amp;";"&amp;"    Mi: "&amp;Datenblatt!$W$48&amp;";"&amp;"    Do: "&amp;Datenblatt!$W$49&amp;";"&amp;"    Fr: "&amp;Datenblatt!$W$50&amp;";"&amp;"    Sa: "&amp;Datenblatt!$W$51&amp;";"&amp;"    So: "&amp;Datenblatt!$W$52&amp;""&amp;"     -    Wochenarbeitszeit:  "&amp;Datenblatt!$W$53&amp;" h"</f>
        <v>Arbeitsstunden/Tag:  Mo: 8;    Di: 8;    Mi: 8;    Do: 8;    Fr: 8;    Sa: 0;    So: 0     -    Wochenarbeitszeit:  40 h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01" t="s">
        <v>238</v>
      </c>
      <c r="U4" s="401"/>
      <c r="V4" s="147"/>
      <c r="W4" s="148" t="str">
        <f>"Urlaubsanspruch per 01.11."&amp;Datenblatt!$F$5</f>
        <v>Urlaubsanspruch per 01.11.2026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"&amp;IF(Datenblatt!W55=1,Datenblatt!D34,IF(Datenblatt!W55=2,Datenblatt!D35,IF(Datenblatt!W55=3,Datenblatt!D36,IF(Datenblatt!W55=4,Datenblatt!D37))))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01" t="s">
        <v>238</v>
      </c>
      <c r="U5" s="401"/>
      <c r="V5" s="147"/>
      <c r="W5" s="149" t="str">
        <f>"Resturlaub per 30.11."&amp;Datenblatt!$F$5</f>
        <v>Resturlaub per 30.11.2026</v>
      </c>
      <c r="X5" s="130" t="s">
        <v>144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66"/>
      <c r="D7" s="66"/>
      <c r="E7" s="66"/>
      <c r="F7" s="408" t="s">
        <v>126</v>
      </c>
      <c r="G7" s="408"/>
      <c r="H7" s="402" t="s">
        <v>127</v>
      </c>
      <c r="I7" s="402"/>
      <c r="J7" s="402"/>
      <c r="K7" s="402"/>
      <c r="L7" s="402"/>
      <c r="M7" s="402"/>
      <c r="N7" s="403" t="s">
        <v>128</v>
      </c>
      <c r="O7" s="403"/>
      <c r="P7" s="404" t="s">
        <v>129</v>
      </c>
      <c r="Q7" s="405" t="s">
        <v>130</v>
      </c>
      <c r="R7" s="150" t="s">
        <v>131</v>
      </c>
      <c r="S7" s="409" t="s">
        <v>132</v>
      </c>
      <c r="T7" s="151" t="s">
        <v>133</v>
      </c>
      <c r="U7" s="152"/>
      <c r="V7" s="350"/>
      <c r="W7" s="406" t="s">
        <v>134</v>
      </c>
      <c r="X7" s="410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04"/>
      <c r="Q8" s="405"/>
      <c r="R8" s="158" t="s">
        <v>138</v>
      </c>
      <c r="S8" s="409"/>
      <c r="T8" s="159" t="s">
        <v>138</v>
      </c>
      <c r="U8" s="160"/>
      <c r="V8" s="351"/>
      <c r="W8" s="407"/>
      <c r="X8" s="411"/>
    </row>
    <row r="9" spans="2:128" s="161" customFormat="1" ht="12.2" customHeight="1">
      <c r="B9" s="162">
        <f>L2</f>
        <v>46327</v>
      </c>
      <c r="C9" s="163">
        <f t="shared" ref="C9:C38" si="0">B9</f>
        <v>46327</v>
      </c>
      <c r="D9" s="164">
        <f>IF(VLOOKUP($B9,Datenblatt!$A$43:$A$65,1,1)=$B9,0,VLOOKUP(WEEKDAY($B9),Datenblatt!$U$46:$W$52,3,FALSE))</f>
        <v>0</v>
      </c>
      <c r="E9" s="164">
        <f>IF(VLOOKUP($B9,Datenblatt!$A$43:$A$65,1,1)=$B9,0,IF(WEEKDAY($B9)=7,1,IF(WEEKDAY($B9)=1,0,2)))</f>
        <v>0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3" t="str">
        <f>IF(VLOOKUP($B9,Datenblatt!$A$43:$A$66,1,1)=$B9,VLOOKUP($B9,Datenblatt!$A$43:$C$66,3,FALSE)," ")</f>
        <v>Allerheiligen</v>
      </c>
      <c r="W9" s="414"/>
      <c r="X9" s="41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8" si="4">B9+1</f>
        <v>46328</v>
      </c>
      <c r="C10" s="163">
        <f t="shared" si="0"/>
        <v>46328</v>
      </c>
      <c r="D10" s="164">
        <f>IF(VLOOKUP($B10,Datenblatt!$A$43:$A$65,1,1)=$B10,0,VLOOKUP(WEEKDAY($B10),Datenblatt!$U$46:$W$52,3,FALSE))</f>
        <v>0</v>
      </c>
      <c r="E10" s="164">
        <f>IF(VLOOKUP($B10,Datenblatt!$A$43:$A$65,1,1)=$B10,0,IF(WEEKDAY($B10)=7,1,IF(WEEKDAY($B10)=1,0,2)))</f>
        <v>0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>Allerseelen</v>
      </c>
      <c r="W10" s="379"/>
      <c r="X10" s="380"/>
    </row>
    <row r="11" spans="2:128" ht="12.2" customHeight="1">
      <c r="B11" s="162">
        <f t="shared" si="4"/>
        <v>46329</v>
      </c>
      <c r="C11" s="163">
        <f t="shared" si="0"/>
        <v>46329</v>
      </c>
      <c r="D11" s="164">
        <f>IF(VLOOKUP($B11,Datenblatt!$A$43:$A$65,1,1)=$B11,0,VLOOKUP(WEEKDAY($B11),Datenblatt!$U$46:$W$52,3,FALSE))</f>
        <v>8</v>
      </c>
      <c r="E11" s="164">
        <f>IF(VLOOKUP($B11,Datenblatt!$A$43:$A$65,1,1)=$B11,0,IF(WEEKDAY($B11)=7,1,IF(WEEKDAY($B11)=1,0,2)))</f>
        <v>2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416" t="str">
        <f>IF(VLOOKUP($B11,Datenblatt!$A$43:$A$66,1,1)=$B11,VLOOKUP($B11,Datenblatt!$A$43:$C$66,3,FALSE)," ")</f>
        <v xml:space="preserve"> </v>
      </c>
      <c r="W11" s="417"/>
      <c r="X11" s="418"/>
      <c r="AA11" s="179"/>
    </row>
    <row r="12" spans="2:128" ht="12.2" customHeight="1">
      <c r="B12" s="162">
        <f t="shared" si="4"/>
        <v>46330</v>
      </c>
      <c r="C12" s="163">
        <f t="shared" si="0"/>
        <v>46330</v>
      </c>
      <c r="D12" s="164">
        <f>IF(VLOOKUP($B12,Datenblatt!$A$43:$A$65,1,1)=$B12,0,VLOOKUP(WEEKDAY($B12),Datenblatt!$U$46:$W$52,3,FALSE))</f>
        <v>8</v>
      </c>
      <c r="E12" s="164">
        <f>IF(VLOOKUP($B12,Datenblatt!$A$43:$A$65,1,1)=$B12,0,IF(WEEKDAY($B12)=7,1,IF(WEEKDAY($B12)=1,0,2)))</f>
        <v>2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416" t="str">
        <f>IF(VLOOKUP($B12,Datenblatt!$A$43:$A$66,1,1)=$B12,VLOOKUP($B12,Datenblatt!$A$43:$C$66,3,FALSE)," ")</f>
        <v xml:space="preserve"> </v>
      </c>
      <c r="W12" s="417"/>
      <c r="X12" s="418"/>
      <c r="AA12" s="179"/>
    </row>
    <row r="13" spans="2:128" s="161" customFormat="1" ht="12.2" customHeight="1">
      <c r="B13" s="162">
        <f t="shared" si="4"/>
        <v>46331</v>
      </c>
      <c r="C13" s="163">
        <f t="shared" si="0"/>
        <v>46331</v>
      </c>
      <c r="D13" s="164">
        <f>IF(VLOOKUP($B13,Datenblatt!$A$43:$A$65,1,1)=$B13,0,VLOOKUP(WEEKDAY($B13),Datenblatt!$U$46:$W$52,3,FALSE))</f>
        <v>8</v>
      </c>
      <c r="E13" s="164">
        <f>IF(VLOOKUP($B13,Datenblatt!$A$43:$A$65,1,1)=$B13,0,IF(WEEKDAY($B13)=7,1,IF(WEEKDAY($B13)=1,0,2)))</f>
        <v>2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416" t="str">
        <f>IF(VLOOKUP($B13,Datenblatt!$A$43:$A$66,1,1)=$B13,VLOOKUP($B13,Datenblatt!$A$43:$C$66,3,FALSE)," ")</f>
        <v xml:space="preserve"> </v>
      </c>
      <c r="W13" s="417"/>
      <c r="X13" s="418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46332</v>
      </c>
      <c r="C14" s="163">
        <f t="shared" si="0"/>
        <v>46332</v>
      </c>
      <c r="D14" s="164">
        <f>IF(VLOOKUP($B14,Datenblatt!$A$43:$A$65,1,1)=$B14,0,VLOOKUP(WEEKDAY($B14),Datenblatt!$U$46:$W$52,3,FALSE))</f>
        <v>8</v>
      </c>
      <c r="E14" s="164">
        <f>IF(VLOOKUP($B14,Datenblatt!$A$43:$A$65,1,1)=$B14,0,IF(WEEKDAY($B14)=7,1,IF(WEEKDAY($B14)=1,0,2)))</f>
        <v>2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416" t="str">
        <f>IF(VLOOKUP($B14,Datenblatt!$A$43:$A$66,1,1)=$B14,VLOOKUP($B14,Datenblatt!$A$43:$C$66,3,FALSE)," ")</f>
        <v xml:space="preserve"> </v>
      </c>
      <c r="W14" s="417"/>
      <c r="X14" s="418"/>
      <c r="AA14" s="179"/>
    </row>
    <row r="15" spans="2:128" ht="12.2" customHeight="1">
      <c r="B15" s="162">
        <f t="shared" si="4"/>
        <v>46333</v>
      </c>
      <c r="C15" s="163">
        <f t="shared" si="0"/>
        <v>46333</v>
      </c>
      <c r="D15" s="164">
        <f>IF(VLOOKUP($B15,Datenblatt!$A$43:$A$65,1,1)=$B15,0,VLOOKUP(WEEKDAY($B15),Datenblatt!$U$46:$W$52,3,FALSE))</f>
        <v>0</v>
      </c>
      <c r="E15" s="164">
        <f>IF(VLOOKUP($B15,Datenblatt!$A$43:$A$65,1,1)=$B15,0,IF(WEEKDAY($B15)=7,1,IF(WEEKDAY($B15)=1,0,2)))</f>
        <v>1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416" t="str">
        <f>IF(VLOOKUP($B15,Datenblatt!$A$43:$A$66,1,1)=$B15,VLOOKUP($B15,Datenblatt!$A$43:$C$66,3,FALSE)," ")</f>
        <v xml:space="preserve"> </v>
      </c>
      <c r="W15" s="417"/>
      <c r="X15" s="418"/>
      <c r="AA15" s="179"/>
    </row>
    <row r="16" spans="2:128" ht="12.2" customHeight="1">
      <c r="B16" s="162">
        <f t="shared" si="4"/>
        <v>46334</v>
      </c>
      <c r="C16" s="163">
        <f t="shared" si="0"/>
        <v>46334</v>
      </c>
      <c r="D16" s="164">
        <f>IF(VLOOKUP($B16,Datenblatt!$A$43:$A$65,1,1)=$B16,0,VLOOKUP(WEEKDAY($B16),Datenblatt!$U$46:$W$52,3,FALSE))</f>
        <v>0</v>
      </c>
      <c r="E16" s="164">
        <f>IF(VLOOKUP($B16,Datenblatt!$A$43:$A$65,1,1)=$B16,0,IF(WEEKDAY($B16)=7,1,IF(WEEKDAY($B16)=1,0,2)))</f>
        <v>0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416" t="str">
        <f>IF(VLOOKUP($B16,Datenblatt!$A$43:$A$66,1,1)=$B16,VLOOKUP($B16,Datenblatt!$A$43:$C$66,3,FALSE)," ")</f>
        <v xml:space="preserve"> </v>
      </c>
      <c r="W16" s="417"/>
      <c r="X16" s="418"/>
      <c r="AA16" s="179"/>
    </row>
    <row r="17" spans="2:128" ht="12.2" customHeight="1">
      <c r="B17" s="162">
        <f t="shared" si="4"/>
        <v>46335</v>
      </c>
      <c r="C17" s="163">
        <f t="shared" si="0"/>
        <v>46335</v>
      </c>
      <c r="D17" s="164">
        <f>IF(VLOOKUP($B17,Datenblatt!$A$43:$A$65,1,1)=$B17,0,VLOOKUP(WEEKDAY($B17),Datenblatt!$U$46:$W$52,3,FALSE))</f>
        <v>8</v>
      </c>
      <c r="E17" s="164">
        <f>IF(VLOOKUP($B17,Datenblatt!$A$43:$A$65,1,1)=$B17,0,IF(WEEKDAY($B17)=7,1,IF(WEEKDAY($B17)=1,0,2)))</f>
        <v>2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416" t="str">
        <f>IF(VLOOKUP($B17,Datenblatt!$A$43:$A$66,1,1)=$B17,VLOOKUP($B17,Datenblatt!$A$43:$C$66,3,FALSE)," ")</f>
        <v xml:space="preserve"> </v>
      </c>
      <c r="W17" s="417"/>
      <c r="X17" s="418"/>
      <c r="AA17" s="179"/>
    </row>
    <row r="18" spans="2:128" ht="12.2" customHeight="1">
      <c r="B18" s="162">
        <f t="shared" si="4"/>
        <v>46336</v>
      </c>
      <c r="C18" s="163">
        <f t="shared" si="0"/>
        <v>46336</v>
      </c>
      <c r="D18" s="164">
        <f>IF(VLOOKUP($B18,Datenblatt!$A$43:$A$65,1,1)=$B18,0,VLOOKUP(WEEKDAY($B18),Datenblatt!$U$46:$W$52,3,FALSE))</f>
        <v>8</v>
      </c>
      <c r="E18" s="164">
        <f>IF(VLOOKUP($B18,Datenblatt!$A$43:$A$65,1,1)=$B18,0,IF(WEEKDAY($B18)=7,1,IF(WEEKDAY($B18)=1,0,2)))</f>
        <v>2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416" t="str">
        <f>IF(VLOOKUP($B18,Datenblatt!$A$43:$A$66,1,1)=$B18,VLOOKUP($B18,Datenblatt!$A$43:$C$66,3,FALSE)," ")</f>
        <v xml:space="preserve"> </v>
      </c>
      <c r="W18" s="417"/>
      <c r="X18" s="418"/>
      <c r="AA18" s="179"/>
    </row>
    <row r="19" spans="2:128" ht="12.2" customHeight="1">
      <c r="B19" s="162">
        <f t="shared" si="4"/>
        <v>46337</v>
      </c>
      <c r="C19" s="163">
        <f t="shared" si="0"/>
        <v>46337</v>
      </c>
      <c r="D19" s="164">
        <f>IF(VLOOKUP($B19,Datenblatt!$A$43:$A$65,1,1)=$B19,0,VLOOKUP(WEEKDAY($B19),Datenblatt!$U$46:$W$52,3,FALSE))</f>
        <v>8</v>
      </c>
      <c r="E19" s="164">
        <f>IF(VLOOKUP($B19,Datenblatt!$A$43:$A$65,1,1)=$B19,0,IF(WEEKDAY($B19)=7,1,IF(WEEKDAY($B19)=1,0,2)))</f>
        <v>2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416" t="str">
        <f>IF(VLOOKUP($B19,Datenblatt!$A$43:$A$66,1,1)=$B19,VLOOKUP($B19,Datenblatt!$A$43:$C$66,3,FALSE)," ")</f>
        <v xml:space="preserve"> </v>
      </c>
      <c r="W19" s="417"/>
      <c r="X19" s="418"/>
      <c r="AA19" s="179"/>
    </row>
    <row r="20" spans="2:128" ht="12.2" customHeight="1">
      <c r="B20" s="162">
        <f t="shared" si="4"/>
        <v>46338</v>
      </c>
      <c r="C20" s="163">
        <f t="shared" si="0"/>
        <v>46338</v>
      </c>
      <c r="D20" s="164">
        <f>IF(VLOOKUP($B20,Datenblatt!$A$43:$A$65,1,1)=$B20,0,VLOOKUP(WEEKDAY($B20),Datenblatt!$U$46:$W$52,3,FALSE))</f>
        <v>8</v>
      </c>
      <c r="E20" s="164">
        <f>IF(VLOOKUP($B20,Datenblatt!$A$43:$A$65,1,1)=$B20,0,IF(WEEKDAY($B20)=7,1,IF(WEEKDAY($B20)=1,0,2)))</f>
        <v>2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416" t="str">
        <f>IF(VLOOKUP($B20,Datenblatt!$A$43:$A$66,1,1)=$B20,VLOOKUP($B20,Datenblatt!$A$43:$C$66,3,FALSE)," ")</f>
        <v xml:space="preserve"> </v>
      </c>
      <c r="W20" s="417"/>
      <c r="X20" s="418"/>
      <c r="AA20" s="179"/>
    </row>
    <row r="21" spans="2:128" ht="12.2" customHeight="1">
      <c r="B21" s="162">
        <f t="shared" si="4"/>
        <v>46339</v>
      </c>
      <c r="C21" s="163">
        <f t="shared" si="0"/>
        <v>46339</v>
      </c>
      <c r="D21" s="164">
        <f>IF(VLOOKUP($B21,Datenblatt!$A$43:$A$65,1,1)=$B21,0,VLOOKUP(WEEKDAY($B21),Datenblatt!$U$46:$W$52,3,FALSE))</f>
        <v>8</v>
      </c>
      <c r="E21" s="164">
        <f>IF(VLOOKUP($B21,Datenblatt!$A$43:$A$65,1,1)=$B21,0,IF(WEEKDAY($B21)=7,1,IF(WEEKDAY($B21)=1,0,2)))</f>
        <v>2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416" t="str">
        <f>IF(VLOOKUP($B21,Datenblatt!$A$43:$A$66,1,1)=$B21,VLOOKUP($B21,Datenblatt!$A$43:$C$66,3,FALSE)," ")</f>
        <v xml:space="preserve"> </v>
      </c>
      <c r="W21" s="417"/>
      <c r="X21" s="418"/>
      <c r="AA21" s="179"/>
    </row>
    <row r="22" spans="2:128" s="180" customFormat="1" ht="12.2" customHeight="1">
      <c r="B22" s="162">
        <f t="shared" si="4"/>
        <v>46340</v>
      </c>
      <c r="C22" s="163">
        <f t="shared" si="0"/>
        <v>46340</v>
      </c>
      <c r="D22" s="164">
        <f>IF(VLOOKUP($B22,Datenblatt!$A$43:$A$65,1,1)=$B22,0,VLOOKUP(WEEKDAY($B22),Datenblatt!$U$46:$W$52,3,FALSE))</f>
        <v>0</v>
      </c>
      <c r="E22" s="164">
        <f>IF(VLOOKUP($B22,Datenblatt!$A$43:$A$65,1,1)=$B22,0,IF(WEEKDAY($B22)=7,1,IF(WEEKDAY($B22)=1,0,2)))</f>
        <v>1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416" t="str">
        <f>IF(VLOOKUP($B22,Datenblatt!$A$43:$A$66,1,1)=$B22,VLOOKUP($B22,Datenblatt!$A$43:$C$66,3,FALSE)," ")</f>
        <v xml:space="preserve"> </v>
      </c>
      <c r="W22" s="417"/>
      <c r="X22" s="418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46341</v>
      </c>
      <c r="C23" s="163">
        <f t="shared" si="0"/>
        <v>46341</v>
      </c>
      <c r="D23" s="164">
        <f>IF(VLOOKUP($B23,Datenblatt!$A$43:$A$65,1,1)=$B23,0,VLOOKUP(WEEKDAY($B23),Datenblatt!$U$46:$W$52,3,FALSE))</f>
        <v>0</v>
      </c>
      <c r="E23" s="164">
        <f>IF(VLOOKUP($B23,Datenblatt!$A$43:$A$65,1,1)=$B23,0,IF(WEEKDAY($B23)=7,1,IF(WEEKDAY($B23)=1,0,2)))</f>
        <v>0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416" t="str">
        <f>IF(VLOOKUP($B23,Datenblatt!$A$43:$A$66,1,1)=$B23,VLOOKUP($B23,Datenblatt!$A$43:$C$66,3,FALSE)," ")</f>
        <v xml:space="preserve"> </v>
      </c>
      <c r="W23" s="417"/>
      <c r="X23" s="418"/>
      <c r="AA23" s="179"/>
    </row>
    <row r="24" spans="2:128" ht="12.2" customHeight="1">
      <c r="B24" s="162">
        <f t="shared" si="4"/>
        <v>46342</v>
      </c>
      <c r="C24" s="163">
        <f t="shared" si="0"/>
        <v>46342</v>
      </c>
      <c r="D24" s="164">
        <f>IF(VLOOKUP($B24,Datenblatt!$A$43:$A$65,1,1)=$B24,0,VLOOKUP(WEEKDAY($B24),Datenblatt!$U$46:$W$52,3,FALSE))</f>
        <v>8</v>
      </c>
      <c r="E24" s="164">
        <f>IF(VLOOKUP($B24,Datenblatt!$A$43:$A$65,1,1)=$B24,0,IF(WEEKDAY($B24)=7,1,IF(WEEKDAY($B24)=1,0,2)))</f>
        <v>2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416" t="str">
        <f>IF(VLOOKUP($B24,Datenblatt!$A$43:$A$66,1,1)=$B24,VLOOKUP($B24,Datenblatt!$A$43:$C$66,3,FALSE)," ")</f>
        <v xml:space="preserve"> </v>
      </c>
      <c r="W24" s="417"/>
      <c r="X24" s="418"/>
      <c r="AA24" s="179"/>
    </row>
    <row r="25" spans="2:128" ht="12.2" customHeight="1">
      <c r="B25" s="162">
        <f t="shared" si="4"/>
        <v>46343</v>
      </c>
      <c r="C25" s="163">
        <f t="shared" si="0"/>
        <v>46343</v>
      </c>
      <c r="D25" s="164">
        <f>IF(VLOOKUP($B25,Datenblatt!$A$43:$A$65,1,1)=$B25,0,VLOOKUP(WEEKDAY($B25),Datenblatt!$U$46:$W$52,3,FALSE))</f>
        <v>8</v>
      </c>
      <c r="E25" s="164">
        <f>IF(VLOOKUP($B25,Datenblatt!$A$43:$A$65,1,1)=$B25,0,IF(WEEKDAY($B25)=7,1,IF(WEEKDAY($B25)=1,0,2)))</f>
        <v>2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416" t="str">
        <f>IF(VLOOKUP($B25,Datenblatt!$A$43:$A$66,1,1)=$B25,VLOOKUP($B25,Datenblatt!$A$43:$C$66,3,FALSE)," ")</f>
        <v xml:space="preserve"> </v>
      </c>
      <c r="W25" s="417"/>
      <c r="X25" s="418"/>
      <c r="AA25" s="179"/>
    </row>
    <row r="26" spans="2:128" ht="12.2" customHeight="1">
      <c r="B26" s="162">
        <f t="shared" si="4"/>
        <v>46344</v>
      </c>
      <c r="C26" s="163">
        <f t="shared" si="0"/>
        <v>46344</v>
      </c>
      <c r="D26" s="164">
        <f>IF(VLOOKUP($B26,Datenblatt!$A$43:$A$65,1,1)=$B26,0,VLOOKUP(WEEKDAY($B26),Datenblatt!$U$46:$W$52,3,FALSE))</f>
        <v>8</v>
      </c>
      <c r="E26" s="164">
        <f>IF(VLOOKUP($B26,Datenblatt!$A$43:$A$65,1,1)=$B26,0,IF(WEEKDAY($B26)=7,1,IF(WEEKDAY($B26)=1,0,2)))</f>
        <v>2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416" t="str">
        <f>IF(VLOOKUP($B26,Datenblatt!$A$43:$A$66,1,1)=$B26,VLOOKUP($B26,Datenblatt!$A$43:$C$66,3,FALSE)," ")</f>
        <v xml:space="preserve"> </v>
      </c>
      <c r="W26" s="417"/>
      <c r="X26" s="418"/>
      <c r="AA26" s="179"/>
    </row>
    <row r="27" spans="2:128" ht="12.2" customHeight="1">
      <c r="B27" s="162">
        <f t="shared" si="4"/>
        <v>46345</v>
      </c>
      <c r="C27" s="163">
        <f t="shared" si="0"/>
        <v>46345</v>
      </c>
      <c r="D27" s="164">
        <f>IF(VLOOKUP($B27,Datenblatt!$A$43:$A$65,1,1)=$B27,0,VLOOKUP(WEEKDAY($B27),Datenblatt!$U$46:$W$52,3,FALSE))</f>
        <v>8</v>
      </c>
      <c r="E27" s="164">
        <f>IF(VLOOKUP($B27,Datenblatt!$A$43:$A$65,1,1)=$B27,0,IF(WEEKDAY($B27)=7,1,IF(WEEKDAY($B27)=1,0,2)))</f>
        <v>2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416" t="str">
        <f>IF(VLOOKUP($B27,Datenblatt!$A$43:$A$66,1,1)=$B27,VLOOKUP($B27,Datenblatt!$A$43:$C$66,3,FALSE)," ")</f>
        <v xml:space="preserve"> </v>
      </c>
      <c r="W27" s="417"/>
      <c r="X27" s="418"/>
      <c r="AA27" s="179"/>
    </row>
    <row r="28" spans="2:128" ht="12.2" customHeight="1">
      <c r="B28" s="162">
        <f t="shared" si="4"/>
        <v>46346</v>
      </c>
      <c r="C28" s="163">
        <f t="shared" si="0"/>
        <v>46346</v>
      </c>
      <c r="D28" s="164">
        <f>IF(VLOOKUP($B28,Datenblatt!$A$43:$A$65,1,1)=$B28,0,VLOOKUP(WEEKDAY($B28),Datenblatt!$U$46:$W$52,3,FALSE))</f>
        <v>8</v>
      </c>
      <c r="E28" s="164">
        <f>IF(VLOOKUP($B28,Datenblatt!$A$43:$A$65,1,1)=$B28,0,IF(WEEKDAY($B28)=7,1,IF(WEEKDAY($B28)=1,0,2)))</f>
        <v>2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416" t="str">
        <f>IF(VLOOKUP($B28,Datenblatt!$A$43:$A$66,1,1)=$B28,VLOOKUP($B28,Datenblatt!$A$43:$C$66,3,FALSE)," ")</f>
        <v xml:space="preserve"> </v>
      </c>
      <c r="W28" s="417"/>
      <c r="X28" s="418"/>
      <c r="AA28" s="179"/>
    </row>
    <row r="29" spans="2:128" ht="12.2" customHeight="1">
      <c r="B29" s="162">
        <f t="shared" si="4"/>
        <v>46347</v>
      </c>
      <c r="C29" s="163">
        <f t="shared" si="0"/>
        <v>46347</v>
      </c>
      <c r="D29" s="164">
        <f>IF(VLOOKUP($B29,Datenblatt!$A$43:$A$65,1,1)=$B29,0,VLOOKUP(WEEKDAY($B29),Datenblatt!$U$46:$W$52,3,FALSE))</f>
        <v>0</v>
      </c>
      <c r="E29" s="164">
        <f>IF(VLOOKUP($B29,Datenblatt!$A$43:$A$65,1,1)=$B29,0,IF(WEEKDAY($B29)=7,1,IF(WEEKDAY($B29)=1,0,2)))</f>
        <v>1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416" t="str">
        <f>IF(VLOOKUP($B29,Datenblatt!$A$43:$A$66,1,1)=$B29,VLOOKUP($B29,Datenblatt!$A$43:$C$66,3,FALSE)," ")</f>
        <v xml:space="preserve"> </v>
      </c>
      <c r="W29" s="417"/>
      <c r="X29" s="418"/>
      <c r="AA29" s="179"/>
    </row>
    <row r="30" spans="2:128" ht="12.2" customHeight="1">
      <c r="B30" s="162">
        <f t="shared" si="4"/>
        <v>46348</v>
      </c>
      <c r="C30" s="163">
        <f t="shared" si="0"/>
        <v>46348</v>
      </c>
      <c r="D30" s="164">
        <f>IF(VLOOKUP($B30,Datenblatt!$A$43:$A$65,1,1)=$B30,0,VLOOKUP(WEEKDAY($B30),Datenblatt!$U$46:$W$52,3,FALSE))</f>
        <v>0</v>
      </c>
      <c r="E30" s="164">
        <f>IF(VLOOKUP($B30,Datenblatt!$A$43:$A$65,1,1)=$B30,0,IF(WEEKDAY($B30)=7,1,IF(WEEKDAY($B30)=1,0,2)))</f>
        <v>0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416" t="str">
        <f>IF(VLOOKUP($B30,Datenblatt!$A$43:$A$66,1,1)=$B30,VLOOKUP($B30,Datenblatt!$A$43:$C$66,3,FALSE)," ")</f>
        <v xml:space="preserve"> </v>
      </c>
      <c r="W30" s="417"/>
      <c r="X30" s="418"/>
      <c r="AA30" s="179"/>
    </row>
    <row r="31" spans="2:128" ht="12.2" customHeight="1">
      <c r="B31" s="162">
        <f t="shared" si="4"/>
        <v>46349</v>
      </c>
      <c r="C31" s="163">
        <f t="shared" si="0"/>
        <v>46349</v>
      </c>
      <c r="D31" s="164">
        <f>IF(VLOOKUP($B31,Datenblatt!$A$43:$A$65,1,1)=$B31,0,VLOOKUP(WEEKDAY($B31),Datenblatt!$U$46:$W$52,3,FALSE))</f>
        <v>8</v>
      </c>
      <c r="E31" s="164">
        <f>IF(VLOOKUP($B31,Datenblatt!$A$43:$A$65,1,1)=$B31,0,IF(WEEKDAY($B31)=7,1,IF(WEEKDAY($B31)=1,0,2)))</f>
        <v>2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416" t="str">
        <f>IF(VLOOKUP($B31,Datenblatt!$A$43:$A$66,1,1)=$B31,VLOOKUP($B31,Datenblatt!$A$43:$C$66,3,FALSE)," ")</f>
        <v xml:space="preserve"> </v>
      </c>
      <c r="W31" s="417"/>
      <c r="X31" s="418"/>
      <c r="AA31" s="179"/>
    </row>
    <row r="32" spans="2:128" ht="12.2" customHeight="1">
      <c r="B32" s="162">
        <f t="shared" si="4"/>
        <v>46350</v>
      </c>
      <c r="C32" s="163">
        <f t="shared" si="0"/>
        <v>46350</v>
      </c>
      <c r="D32" s="164">
        <f>IF(VLOOKUP($B32,Datenblatt!$A$43:$A$65,1,1)=$B32,0,VLOOKUP(WEEKDAY($B32),Datenblatt!$U$46:$W$52,3,FALSE))</f>
        <v>8</v>
      </c>
      <c r="E32" s="164">
        <f>IF(VLOOKUP($B32,Datenblatt!$A$43:$A$65,1,1)=$B32,0,IF(WEEKDAY($B32)=7,1,IF(WEEKDAY($B32)=1,0,2)))</f>
        <v>2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416" t="str">
        <f>IF(VLOOKUP($B32,Datenblatt!$A$43:$A$66,1,1)=$B32,VLOOKUP($B32,Datenblatt!$A$43:$C$66,3,FALSE)," ")</f>
        <v xml:space="preserve"> </v>
      </c>
      <c r="W32" s="417"/>
      <c r="X32" s="418"/>
      <c r="AA32" s="179"/>
    </row>
    <row r="33" spans="2:128" ht="12.2" customHeight="1">
      <c r="B33" s="162">
        <f t="shared" si="4"/>
        <v>46351</v>
      </c>
      <c r="C33" s="163">
        <f t="shared" si="0"/>
        <v>46351</v>
      </c>
      <c r="D33" s="164">
        <f>IF(VLOOKUP($B33,Datenblatt!$A$43:$A$65,1,1)=$B33,0,VLOOKUP(WEEKDAY($B33),Datenblatt!$U$46:$W$52,3,FALSE))</f>
        <v>8</v>
      </c>
      <c r="E33" s="164">
        <f>IF(VLOOKUP($B33,Datenblatt!$A$43:$A$65,1,1)=$B33,0,IF(WEEKDAY($B33)=7,1,IF(WEEKDAY($B33)=1,0,2)))</f>
        <v>2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416" t="str">
        <f>IF(VLOOKUP($B33,Datenblatt!$A$43:$A$66,1,1)=$B33,VLOOKUP($B33,Datenblatt!$A$43:$C$66,3,FALSE)," ")</f>
        <v xml:space="preserve"> </v>
      </c>
      <c r="W33" s="417"/>
      <c r="X33" s="418"/>
      <c r="AA33" s="179"/>
    </row>
    <row r="34" spans="2:128" ht="12.2" customHeight="1">
      <c r="B34" s="162">
        <f t="shared" si="4"/>
        <v>46352</v>
      </c>
      <c r="C34" s="163">
        <f t="shared" si="0"/>
        <v>46352</v>
      </c>
      <c r="D34" s="164">
        <f>IF(VLOOKUP($B34,Datenblatt!$A$43:$A$65,1,1)=$B34,0,VLOOKUP(WEEKDAY($B34),Datenblatt!$U$46:$W$52,3,FALSE))</f>
        <v>8</v>
      </c>
      <c r="E34" s="164">
        <f>IF(VLOOKUP($B34,Datenblatt!$A$43:$A$65,1,1)=$B34,0,IF(WEEKDAY($B34)=7,1,IF(WEEKDAY($B34)=1,0,2)))</f>
        <v>2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416" t="str">
        <f>IF(VLOOKUP($B34,Datenblatt!$A$43:$A$66,1,1)=$B34,VLOOKUP($B34,Datenblatt!$A$43:$C$66,3,FALSE)," ")</f>
        <v xml:space="preserve"> </v>
      </c>
      <c r="W34" s="417"/>
      <c r="X34" s="418"/>
      <c r="AA34" s="179"/>
    </row>
    <row r="35" spans="2:128" ht="12.2" customHeight="1">
      <c r="B35" s="162">
        <f t="shared" si="4"/>
        <v>46353</v>
      </c>
      <c r="C35" s="163">
        <f t="shared" si="0"/>
        <v>46353</v>
      </c>
      <c r="D35" s="164">
        <f>IF(VLOOKUP($B35,Datenblatt!$A$43:$A$65,1,1)=$B35,0,VLOOKUP(WEEKDAY($B35),Datenblatt!$U$46:$W$52,3,FALSE))</f>
        <v>8</v>
      </c>
      <c r="E35" s="164">
        <f>IF(VLOOKUP($B35,Datenblatt!$A$43:$A$65,1,1)=$B35,0,IF(WEEKDAY($B35)=7,1,IF(WEEKDAY($B35)=1,0,2)))</f>
        <v>2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416" t="str">
        <f>IF(VLOOKUP($B35,Datenblatt!$A$43:$A$66,1,1)=$B35,VLOOKUP($B35,Datenblatt!$A$43:$C$66,3,FALSE)," ")</f>
        <v xml:space="preserve"> </v>
      </c>
      <c r="W35" s="417"/>
      <c r="X35" s="418"/>
      <c r="AA35" s="179"/>
    </row>
    <row r="36" spans="2:128" ht="12.2" customHeight="1">
      <c r="B36" s="162">
        <f t="shared" si="4"/>
        <v>46354</v>
      </c>
      <c r="C36" s="163">
        <f t="shared" si="0"/>
        <v>46354</v>
      </c>
      <c r="D36" s="164">
        <f>IF(VLOOKUP($B36,Datenblatt!$A$43:$A$65,1,1)=$B36,0,VLOOKUP(WEEKDAY($B36),Datenblatt!$U$46:$W$52,3,FALSE))</f>
        <v>0</v>
      </c>
      <c r="E36" s="164">
        <f>IF(VLOOKUP($B36,Datenblatt!$A$43:$A$65,1,1)=$B36,0,IF(WEEKDAY($B36)=7,1,IF(WEEKDAY($B36)=1,0,2)))</f>
        <v>1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416" t="str">
        <f>IF(VLOOKUP($B36,Datenblatt!$A$43:$A$66,1,1)=$B36,VLOOKUP($B36,Datenblatt!$A$43:$C$66,3,FALSE)," ")</f>
        <v xml:space="preserve"> </v>
      </c>
      <c r="W36" s="417"/>
      <c r="X36" s="418"/>
      <c r="AA36" s="179"/>
    </row>
    <row r="37" spans="2:128" ht="12.2" customHeight="1">
      <c r="B37" s="162">
        <f t="shared" si="4"/>
        <v>46355</v>
      </c>
      <c r="C37" s="163">
        <f t="shared" si="0"/>
        <v>46355</v>
      </c>
      <c r="D37" s="164">
        <f>IF(VLOOKUP($B37,Datenblatt!$A$43:$A$65,1,1)=$B37,0,VLOOKUP(WEEKDAY($B37),Datenblatt!$U$46:$W$52,3,FALSE))</f>
        <v>0</v>
      </c>
      <c r="E37" s="164">
        <f>IF(VLOOKUP($B37,Datenblatt!$A$43:$A$65,1,1)=$B37,0,IF(WEEKDAY($B37)=7,1,IF(WEEKDAY($B37)=1,0,2)))</f>
        <v>0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416" t="str">
        <f>IF(VLOOKUP($B37,Datenblatt!$A$43:$A$66,1,1)=$B37,VLOOKUP($B37,Datenblatt!$A$43:$C$66,3,FALSE)," ")</f>
        <v xml:space="preserve"> </v>
      </c>
      <c r="W37" s="417"/>
      <c r="X37" s="418"/>
      <c r="AA37" s="179"/>
    </row>
    <row r="38" spans="2:128" ht="12.2" customHeight="1">
      <c r="B38" s="162">
        <f t="shared" si="4"/>
        <v>46356</v>
      </c>
      <c r="C38" s="163">
        <f t="shared" si="0"/>
        <v>46356</v>
      </c>
      <c r="D38" s="164">
        <f>IF(VLOOKUP($B38,Datenblatt!$A$43:$A$65,1,1)=$B38,0,VLOOKUP(WEEKDAY($B38),Datenblatt!$U$46:$W$52,3,FALSE))</f>
        <v>8</v>
      </c>
      <c r="E38" s="164">
        <f>IF(VLOOKUP($B38,Datenblatt!$A$43:$A$65,1,1)=$B38,0,IF(WEEKDAY($B38)=7,1,IF(WEEKDAY($B38)=1,0,2)))</f>
        <v>2</v>
      </c>
      <c r="F38" s="165"/>
      <c r="G38" s="166"/>
      <c r="H38" s="167"/>
      <c r="I38" s="168"/>
      <c r="J38" s="167"/>
      <c r="K38" s="168"/>
      <c r="L38" s="167"/>
      <c r="M38" s="169"/>
      <c r="N38" s="170"/>
      <c r="O38" s="170"/>
      <c r="P38" s="171"/>
      <c r="Q38" s="172"/>
      <c r="R38" s="173" t="str">
        <f t="shared" si="1"/>
        <v/>
      </c>
      <c r="S38" s="174" t="str">
        <f t="shared" si="2"/>
        <v/>
      </c>
      <c r="T38" s="175" t="str">
        <f t="shared" si="3"/>
        <v/>
      </c>
      <c r="U38" s="176"/>
      <c r="V38" s="416" t="str">
        <f>IF(VLOOKUP($B38,Datenblatt!$A$43:$A$66,1,1)=$B38,VLOOKUP($B38,Datenblatt!$A$43:$C$66,3,FALSE)," ")</f>
        <v xml:space="preserve"> </v>
      </c>
      <c r="W38" s="417"/>
      <c r="X38" s="418"/>
      <c r="AA38" s="179"/>
    </row>
    <row r="39" spans="2:128" ht="12.2" customHeight="1" thickBot="1">
      <c r="B39" s="162"/>
      <c r="C39" s="163"/>
      <c r="D39" s="164"/>
      <c r="E39" s="164"/>
      <c r="F39" s="206"/>
      <c r="G39" s="207"/>
      <c r="H39" s="208"/>
      <c r="I39" s="209"/>
      <c r="J39" s="208"/>
      <c r="K39" s="209"/>
      <c r="L39" s="210"/>
      <c r="M39" s="211"/>
      <c r="N39" s="212"/>
      <c r="O39" s="212"/>
      <c r="P39" s="213"/>
      <c r="Q39" s="214"/>
      <c r="R39" s="177" t="str">
        <f t="shared" si="1"/>
        <v/>
      </c>
      <c r="S39" s="178" t="str">
        <f t="shared" si="2"/>
        <v/>
      </c>
      <c r="T39" s="175" t="str">
        <f t="shared" si="3"/>
        <v/>
      </c>
      <c r="U39" s="176"/>
      <c r="V39" s="424"/>
      <c r="W39" s="425"/>
      <c r="X39" s="426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412"/>
      <c r="X40" s="41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20  Arbeitstage in diesem Monat</v>
      </c>
      <c r="C41" s="190"/>
      <c r="D41" s="215"/>
      <c r="E41" s="215"/>
      <c r="F41" s="215"/>
      <c r="G41" s="216"/>
      <c r="H41" s="215"/>
      <c r="I41" s="66"/>
      <c r="J41" s="66"/>
      <c r="K41" s="66"/>
      <c r="L41" s="66"/>
      <c r="M41" s="24" t="str">
        <f>"Sollstunden für November "&amp;Datenblatt!$F$5&amp;":"</f>
        <v>Sollstunden für November 2026:</v>
      </c>
      <c r="N41" s="66"/>
      <c r="O41" s="66"/>
      <c r="P41" s="194"/>
      <c r="R41" s="195"/>
      <c r="S41" s="398">
        <f>SUM(D9:D39)</f>
        <v>160</v>
      </c>
      <c r="T41" s="398"/>
      <c r="U41" s="196"/>
      <c r="V41" s="196"/>
      <c r="W41" s="197"/>
      <c r="X41" s="130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20" t="s">
        <v>239</v>
      </c>
      <c r="J42" s="420"/>
      <c r="K42" s="198"/>
      <c r="M42" s="198" t="str">
        <f>IF(S42&gt;=0,"Zeitguthaben im Monat November "&amp;Datenblatt!F5&amp;":   ","Zeitdefizit im Monat November "&amp;Datenblatt!F5&amp;":   ")</f>
        <v xml:space="preserve">Zeitguthaben im Monat November 2026:   </v>
      </c>
      <c r="N42" s="198"/>
      <c r="O42" s="198"/>
      <c r="R42" s="199"/>
      <c r="S42" s="421" t="s">
        <v>239</v>
      </c>
      <c r="T42" s="421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Oktober "&amp;Datenblatt!F5-1&amp;":   ","  - Zeitdefizit aus Oktober "&amp;Datenblatt!F5&amp;":   ")</f>
        <v xml:space="preserve">  + Zeitguthaben aus Oktober 2025:   </v>
      </c>
      <c r="S43" s="427" t="str">
        <f>Jän!S44</f>
        <v>________ h</v>
      </c>
      <c r="T43" s="427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198" t="str">
        <f>"Übertrag für Dezember "&amp;Datenblatt!F5</f>
        <v>Übertrag für Dezember 2026</v>
      </c>
      <c r="R44" s="204"/>
      <c r="S44" s="423" t="s">
        <v>239</v>
      </c>
      <c r="T44" s="423"/>
      <c r="U44" s="200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19">
        <f ca="1">TODAY()</f>
        <v>45935</v>
      </c>
      <c r="H45" s="419"/>
      <c r="I45" s="419"/>
      <c r="T45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G45:I45"/>
    <mergeCell ref="I42:J42"/>
    <mergeCell ref="S42:T42"/>
    <mergeCell ref="S43:T43"/>
    <mergeCell ref="S44:T44"/>
    <mergeCell ref="W7:W8"/>
    <mergeCell ref="F7:G7"/>
    <mergeCell ref="S7:S8"/>
    <mergeCell ref="X7:X8"/>
    <mergeCell ref="W40:X40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S41:T41"/>
    <mergeCell ref="L2:P2"/>
    <mergeCell ref="T4:U4"/>
    <mergeCell ref="T5:U5"/>
    <mergeCell ref="H7:M7"/>
    <mergeCell ref="N7:O7"/>
    <mergeCell ref="P7:P8"/>
    <mergeCell ref="Q7:Q8"/>
  </mergeCells>
  <phoneticPr fontId="2" type="noConversion"/>
  <conditionalFormatting sqref="A15 DY15:IV15">
    <cfRule type="cellIs" dxfId="16" priority="1" stopIfTrue="1" operator="equal">
      <formula>MATCH($E15,0)</formula>
    </cfRule>
    <cfRule type="expression" dxfId="15" priority="2" stopIfTrue="1">
      <formula>"WOCHENTAG($B8)=1"</formula>
    </cfRule>
    <cfRule type="expression" dxfId="14" priority="3" stopIfTrue="1">
      <formula>"WOCHENTAG($B8)=7"</formula>
    </cfRule>
  </conditionalFormatting>
  <conditionalFormatting sqref="B9:C38">
    <cfRule type="expression" dxfId="13" priority="8" stopIfTrue="1">
      <formula>($E9=1)</formula>
    </cfRule>
  </conditionalFormatting>
  <conditionalFormatting sqref="V9 B9:T38 V10:X10 V11:V38">
    <cfRule type="expression" dxfId="12" priority="4" stopIfTrue="1">
      <formula>($E9=0)</formula>
    </cfRule>
    <cfRule type="expression" dxfId="11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DX48"/>
  <sheetViews>
    <sheetView showGridLines="0" workbookViewId="0">
      <pane ySplit="8" topLeftCell="A9" activePane="bottomLeft" state="frozen"/>
      <selection activeCell="V13" sqref="V13:X13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140625" style="94" customWidth="1"/>
    <col min="4" max="4" width="0.28515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399">
        <f>DATE(Datenblatt!F5,12,1)</f>
        <v>46357</v>
      </c>
      <c r="M2" s="399"/>
      <c r="N2" s="399"/>
      <c r="O2" s="399"/>
      <c r="P2" s="399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"&amp;Datenblatt!$Z$46&amp;";"&amp;"    Di: "&amp;Datenblatt!$Z$47&amp;";"&amp;"    Mi: "&amp;Datenblatt!$Z$48&amp;";"&amp;"    Do: "&amp;Datenblatt!$Z$49&amp;";"&amp;"    Fr: "&amp;Datenblatt!$Z$50&amp;";"&amp;"    Sa: "&amp;Datenblatt!$Z$51&amp;";"&amp;"    So: "&amp;Datenblatt!$Z$52&amp;""&amp;"     -    Wochenarbeitszeit:  "&amp;Datenblatt!$Z$53&amp;" h"</f>
        <v>Arbeitsstunden/Tag:  Mo: 8;    Di: 8;    Mi: 8;    Do: 8;    Fr: 8;    Sa: 0;    So: 0     -    Wochenarbeitszeit:  40 h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01" t="s">
        <v>238</v>
      </c>
      <c r="U4" s="401"/>
      <c r="V4" s="147"/>
      <c r="W4" s="148" t="str">
        <f>"Urlaubsanspruch per 01.12."&amp;Datenblatt!$F$5</f>
        <v>Urlaubsanspruch per 01.12.2026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"&amp;IF(Datenblatt!Z55=1,Datenblatt!D34,IF(Datenblatt!Z55=2,Datenblatt!D35,IF(Datenblatt!Z55=3,Datenblatt!D36,IF(Datenblatt!Z55=4,Datenblatt!D37))))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01" t="s">
        <v>238</v>
      </c>
      <c r="U5" s="401"/>
      <c r="V5" s="147"/>
      <c r="W5" s="149" t="str">
        <f>"Resturlaub per 31.12."&amp;Datenblatt!$F$5</f>
        <v>Resturlaub per 31.12.2026</v>
      </c>
      <c r="X5" s="130" t="s">
        <v>144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408" t="s">
        <v>126</v>
      </c>
      <c r="G7" s="408"/>
      <c r="H7" s="402" t="s">
        <v>127</v>
      </c>
      <c r="I7" s="402"/>
      <c r="J7" s="402"/>
      <c r="K7" s="402"/>
      <c r="L7" s="402"/>
      <c r="M7" s="402"/>
      <c r="N7" s="403" t="s">
        <v>128</v>
      </c>
      <c r="O7" s="403"/>
      <c r="P7" s="404" t="s">
        <v>129</v>
      </c>
      <c r="Q7" s="405" t="s">
        <v>130</v>
      </c>
      <c r="R7" s="150" t="s">
        <v>131</v>
      </c>
      <c r="S7" s="409" t="s">
        <v>132</v>
      </c>
      <c r="T7" s="151" t="s">
        <v>133</v>
      </c>
      <c r="U7" s="152"/>
      <c r="V7" s="350"/>
      <c r="W7" s="406" t="s">
        <v>134</v>
      </c>
      <c r="X7" s="410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04"/>
      <c r="Q8" s="405"/>
      <c r="R8" s="158" t="s">
        <v>138</v>
      </c>
      <c r="S8" s="409"/>
      <c r="T8" s="159" t="s">
        <v>138</v>
      </c>
      <c r="U8" s="160"/>
      <c r="V8" s="351"/>
      <c r="W8" s="407"/>
      <c r="X8" s="411"/>
    </row>
    <row r="9" spans="2:128" s="161" customFormat="1" ht="12.2" customHeight="1">
      <c r="B9" s="162">
        <f>L2</f>
        <v>46357</v>
      </c>
      <c r="C9" s="163">
        <f t="shared" ref="C9:C39" si="0">B9</f>
        <v>46357</v>
      </c>
      <c r="D9" s="164">
        <f>IF(VLOOKUP($B9,Datenblatt!$A$43:$A$65,1,1)=$B9,0,VLOOKUP(WEEKDAY($B9),Datenblatt!$X$46:$Z$52,3,FALSE))</f>
        <v>8</v>
      </c>
      <c r="E9" s="164">
        <f>IF(VLOOKUP($B9,Datenblatt!$A$43:$A$65,1,1)=$B9,0,IF(WEEKDAY($B9)=7,1,IF(WEEKDAY($B9)=1,0,2)))</f>
        <v>2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3" t="str">
        <f>IF(VLOOKUP($B9,Datenblatt!$A$43:$A$66,1,1)=$B9,VLOOKUP($B9,Datenblatt!$A$43:$C$66,3,FALSE)," ")</f>
        <v xml:space="preserve"> </v>
      </c>
      <c r="W9" s="414"/>
      <c r="X9" s="41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9" si="4">B9+1</f>
        <v>46358</v>
      </c>
      <c r="C10" s="163">
        <f t="shared" si="0"/>
        <v>46358</v>
      </c>
      <c r="D10" s="164">
        <f>IF(VLOOKUP($B10,Datenblatt!$A$43:$A$65,1,1)=$B10,0,VLOOKUP(WEEKDAY($B10),Datenblatt!$X$46:$Z$52,3,FALSE))</f>
        <v>8</v>
      </c>
      <c r="E10" s="164">
        <f>IF(VLOOKUP($B10,Datenblatt!$A$43:$A$65,1,1)=$B10,0,IF(WEEKDAY($B10)=7,1,IF(WEEKDAY($B10)=1,0,2)))</f>
        <v>2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 xml:space="preserve"> </v>
      </c>
      <c r="W10" s="379"/>
      <c r="X10" s="380"/>
    </row>
    <row r="11" spans="2:128" ht="12.2" customHeight="1">
      <c r="B11" s="162">
        <f t="shared" si="4"/>
        <v>46359</v>
      </c>
      <c r="C11" s="163">
        <f t="shared" si="0"/>
        <v>46359</v>
      </c>
      <c r="D11" s="164">
        <f>IF(VLOOKUP($B11,Datenblatt!$A$43:$A$65,1,1)=$B11,0,VLOOKUP(WEEKDAY($B11),Datenblatt!$X$46:$Z$52,3,FALSE))</f>
        <v>8</v>
      </c>
      <c r="E11" s="164">
        <f>IF(VLOOKUP($B11,Datenblatt!$A$43:$A$65,1,1)=$B11,0,IF(WEEKDAY($B11)=7,1,IF(WEEKDAY($B11)=1,0,2)))</f>
        <v>2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416" t="str">
        <f>IF(VLOOKUP($B11,Datenblatt!$A$43:$A$66,1,1)=$B11,VLOOKUP($B11,Datenblatt!$A$43:$C$66,3,FALSE)," ")</f>
        <v xml:space="preserve"> </v>
      </c>
      <c r="W11" s="417"/>
      <c r="X11" s="418"/>
      <c r="AA11" s="179"/>
    </row>
    <row r="12" spans="2:128" ht="12.2" customHeight="1">
      <c r="B12" s="162">
        <f t="shared" si="4"/>
        <v>46360</v>
      </c>
      <c r="C12" s="163">
        <f t="shared" si="0"/>
        <v>46360</v>
      </c>
      <c r="D12" s="164">
        <f>IF(VLOOKUP($B12,Datenblatt!$A$43:$A$65,1,1)=$B12,0,VLOOKUP(WEEKDAY($B12),Datenblatt!$X$46:$Z$52,3,FALSE))</f>
        <v>8</v>
      </c>
      <c r="E12" s="164">
        <f>IF(VLOOKUP($B12,Datenblatt!$A$43:$A$65,1,1)=$B12,0,IF(WEEKDAY($B12)=7,1,IF(WEEKDAY($B12)=1,0,2)))</f>
        <v>2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416" t="str">
        <f>IF(VLOOKUP($B12,Datenblatt!$A$43:$A$66,1,1)=$B12,VLOOKUP($B12,Datenblatt!$A$43:$C$66,3,FALSE)," ")</f>
        <v xml:space="preserve"> </v>
      </c>
      <c r="W12" s="417"/>
      <c r="X12" s="418"/>
      <c r="AA12" s="179"/>
    </row>
    <row r="13" spans="2:128" s="161" customFormat="1" ht="12.2" customHeight="1">
      <c r="B13" s="162">
        <f t="shared" si="4"/>
        <v>46361</v>
      </c>
      <c r="C13" s="163">
        <f t="shared" si="0"/>
        <v>46361</v>
      </c>
      <c r="D13" s="164">
        <f>IF(VLOOKUP($B13,Datenblatt!$A$43:$A$65,1,1)=$B13,0,VLOOKUP(WEEKDAY($B13),Datenblatt!$X$46:$Z$52,3,FALSE))</f>
        <v>0</v>
      </c>
      <c r="E13" s="164">
        <f>IF(VLOOKUP($B13,Datenblatt!$A$43:$A$65,1,1)=$B13,0,IF(WEEKDAY($B13)=7,1,IF(WEEKDAY($B13)=1,0,2)))</f>
        <v>1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416" t="str">
        <f>IF(VLOOKUP($B13,Datenblatt!$A$43:$A$66,1,1)=$B13,VLOOKUP($B13,Datenblatt!$A$43:$C$66,3,FALSE)," ")</f>
        <v xml:space="preserve"> </v>
      </c>
      <c r="W13" s="417"/>
      <c r="X13" s="418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46362</v>
      </c>
      <c r="C14" s="163">
        <f t="shared" si="0"/>
        <v>46362</v>
      </c>
      <c r="D14" s="164">
        <f>IF(VLOOKUP($B14,Datenblatt!$A$43:$A$65,1,1)=$B14,0,VLOOKUP(WEEKDAY($B14),Datenblatt!$X$46:$Z$52,3,FALSE))</f>
        <v>0</v>
      </c>
      <c r="E14" s="164">
        <f>IF(VLOOKUP($B14,Datenblatt!$A$43:$A$65,1,1)=$B14,0,IF(WEEKDAY($B14)=7,1,IF(WEEKDAY($B14)=1,0,2)))</f>
        <v>0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416" t="str">
        <f>IF(VLOOKUP($B14,Datenblatt!$A$43:$A$66,1,1)=$B14,VLOOKUP($B14,Datenblatt!$A$43:$C$66,3,FALSE)," ")</f>
        <v xml:space="preserve"> </v>
      </c>
      <c r="W14" s="417"/>
      <c r="X14" s="418"/>
      <c r="AA14" s="179"/>
    </row>
    <row r="15" spans="2:128" ht="12.2" customHeight="1">
      <c r="B15" s="162">
        <f t="shared" si="4"/>
        <v>46363</v>
      </c>
      <c r="C15" s="163">
        <f t="shared" si="0"/>
        <v>46363</v>
      </c>
      <c r="D15" s="164">
        <f>IF(VLOOKUP($B15,Datenblatt!$A$43:$A$65,1,1)=$B15,0,VLOOKUP(WEEKDAY($B15),Datenblatt!$X$46:$Z$52,3,FALSE))</f>
        <v>8</v>
      </c>
      <c r="E15" s="164">
        <f>IF(VLOOKUP($B15,Datenblatt!$A$43:$A$65,1,1)=$B15,0,IF(WEEKDAY($B15)=7,1,IF(WEEKDAY($B15)=1,0,2)))</f>
        <v>2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416" t="str">
        <f>IF(VLOOKUP($B15,Datenblatt!$A$43:$A$66,1,1)=$B15,VLOOKUP($B15,Datenblatt!$A$43:$C$66,3,FALSE)," ")</f>
        <v xml:space="preserve"> </v>
      </c>
      <c r="W15" s="417"/>
      <c r="X15" s="418"/>
      <c r="AA15" s="179"/>
    </row>
    <row r="16" spans="2:128" ht="12.2" customHeight="1">
      <c r="B16" s="162">
        <f t="shared" si="4"/>
        <v>46364</v>
      </c>
      <c r="C16" s="163">
        <f t="shared" si="0"/>
        <v>46364</v>
      </c>
      <c r="D16" s="164">
        <f>IF(VLOOKUP($B16,Datenblatt!$A$43:$A$65,1,1)=$B16,0,VLOOKUP(WEEKDAY($B16),Datenblatt!$X$46:$Z$52,3,FALSE))</f>
        <v>0</v>
      </c>
      <c r="E16" s="164">
        <f>IF(VLOOKUP($B16,Datenblatt!$A$43:$A$65,1,1)=$B16,0,IF(WEEKDAY($B16)=7,1,IF(WEEKDAY($B16)=1,0,2)))</f>
        <v>0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416" t="str">
        <f>IF(VLOOKUP($B16,Datenblatt!$A$43:$A$66,1,1)=$B16,VLOOKUP($B16,Datenblatt!$A$43:$C$66,3,FALSE)," ")</f>
        <v>Maria Empfängnis</v>
      </c>
      <c r="W16" s="417"/>
      <c r="X16" s="418"/>
      <c r="AA16" s="179"/>
    </row>
    <row r="17" spans="2:128" ht="12.2" customHeight="1">
      <c r="B17" s="162">
        <f t="shared" si="4"/>
        <v>46365</v>
      </c>
      <c r="C17" s="163">
        <f t="shared" si="0"/>
        <v>46365</v>
      </c>
      <c r="D17" s="164">
        <f>IF(VLOOKUP($B17,Datenblatt!$A$43:$A$65,1,1)=$B17,0,VLOOKUP(WEEKDAY($B17),Datenblatt!$X$46:$Z$52,3,FALSE))</f>
        <v>8</v>
      </c>
      <c r="E17" s="164">
        <f>IF(VLOOKUP($B17,Datenblatt!$A$43:$A$65,1,1)=$B17,0,IF(WEEKDAY($B17)=7,1,IF(WEEKDAY($B17)=1,0,2)))</f>
        <v>2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416" t="str">
        <f>IF(VLOOKUP($B17,Datenblatt!$A$43:$A$66,1,1)=$B17,VLOOKUP($B17,Datenblatt!$A$43:$C$66,3,FALSE)," ")</f>
        <v xml:space="preserve"> </v>
      </c>
      <c r="W17" s="417"/>
      <c r="X17" s="418"/>
      <c r="AA17" s="179"/>
    </row>
    <row r="18" spans="2:128" ht="12.2" customHeight="1">
      <c r="B18" s="162">
        <f t="shared" si="4"/>
        <v>46366</v>
      </c>
      <c r="C18" s="163">
        <f t="shared" si="0"/>
        <v>46366</v>
      </c>
      <c r="D18" s="164">
        <f>IF(VLOOKUP($B18,Datenblatt!$A$43:$A$65,1,1)=$B18,0,VLOOKUP(WEEKDAY($B18),Datenblatt!$X$46:$Z$52,3,FALSE))</f>
        <v>8</v>
      </c>
      <c r="E18" s="164">
        <f>IF(VLOOKUP($B18,Datenblatt!$A$43:$A$65,1,1)=$B18,0,IF(WEEKDAY($B18)=7,1,IF(WEEKDAY($B18)=1,0,2)))</f>
        <v>2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416" t="str">
        <f>IF(VLOOKUP($B18,Datenblatt!$A$43:$A$66,1,1)=$B18,VLOOKUP($B18,Datenblatt!$A$43:$C$66,3,FALSE)," ")</f>
        <v xml:space="preserve"> </v>
      </c>
      <c r="W18" s="417"/>
      <c r="X18" s="418"/>
      <c r="AA18" s="179"/>
    </row>
    <row r="19" spans="2:128" ht="12.2" customHeight="1">
      <c r="B19" s="162">
        <f t="shared" si="4"/>
        <v>46367</v>
      </c>
      <c r="C19" s="163">
        <f t="shared" si="0"/>
        <v>46367</v>
      </c>
      <c r="D19" s="164">
        <f>IF(VLOOKUP($B19,Datenblatt!$A$43:$A$65,1,1)=$B19,0,VLOOKUP(WEEKDAY($B19),Datenblatt!$X$46:$Z$52,3,FALSE))</f>
        <v>8</v>
      </c>
      <c r="E19" s="164">
        <f>IF(VLOOKUP($B19,Datenblatt!$A$43:$A$65,1,1)=$B19,0,IF(WEEKDAY($B19)=7,1,IF(WEEKDAY($B19)=1,0,2)))</f>
        <v>2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416" t="str">
        <f>IF(VLOOKUP($B19,Datenblatt!$A$43:$A$66,1,1)=$B19,VLOOKUP($B19,Datenblatt!$A$43:$C$66,3,FALSE)," ")</f>
        <v xml:space="preserve"> </v>
      </c>
      <c r="W19" s="417"/>
      <c r="X19" s="418"/>
      <c r="AA19" s="179"/>
    </row>
    <row r="20" spans="2:128" ht="12.2" customHeight="1">
      <c r="B20" s="162">
        <f t="shared" si="4"/>
        <v>46368</v>
      </c>
      <c r="C20" s="163">
        <f t="shared" si="0"/>
        <v>46368</v>
      </c>
      <c r="D20" s="164">
        <f>IF(VLOOKUP($B20,Datenblatt!$A$43:$A$65,1,1)=$B20,0,VLOOKUP(WEEKDAY($B20),Datenblatt!$X$46:$Z$52,3,FALSE))</f>
        <v>0</v>
      </c>
      <c r="E20" s="164">
        <f>IF(VLOOKUP($B20,Datenblatt!$A$43:$A$65,1,1)=$B20,0,IF(WEEKDAY($B20)=7,1,IF(WEEKDAY($B20)=1,0,2)))</f>
        <v>1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416" t="str">
        <f>IF(VLOOKUP($B20,Datenblatt!$A$43:$A$66,1,1)=$B20,VLOOKUP($B20,Datenblatt!$A$43:$C$66,3,FALSE)," ")</f>
        <v xml:space="preserve"> </v>
      </c>
      <c r="W20" s="417"/>
      <c r="X20" s="418"/>
      <c r="AA20" s="179"/>
    </row>
    <row r="21" spans="2:128" ht="12.2" customHeight="1">
      <c r="B21" s="162">
        <f t="shared" si="4"/>
        <v>46369</v>
      </c>
      <c r="C21" s="163">
        <f t="shared" si="0"/>
        <v>46369</v>
      </c>
      <c r="D21" s="164">
        <f>IF(VLOOKUP($B21,Datenblatt!$A$43:$A$65,1,1)=$B21,0,VLOOKUP(WEEKDAY($B21),Datenblatt!$X$46:$Z$52,3,FALSE))</f>
        <v>0</v>
      </c>
      <c r="E21" s="164">
        <f>IF(VLOOKUP($B21,Datenblatt!$A$43:$A$65,1,1)=$B21,0,IF(WEEKDAY($B21)=7,1,IF(WEEKDAY($B21)=1,0,2)))</f>
        <v>0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416" t="str">
        <f>IF(VLOOKUP($B21,Datenblatt!$A$43:$A$66,1,1)=$B21,VLOOKUP($B21,Datenblatt!$A$43:$C$66,3,FALSE)," ")</f>
        <v xml:space="preserve"> </v>
      </c>
      <c r="W21" s="417"/>
      <c r="X21" s="418"/>
      <c r="AA21" s="179"/>
    </row>
    <row r="22" spans="2:128" s="180" customFormat="1" ht="12.2" customHeight="1">
      <c r="B22" s="162">
        <f t="shared" si="4"/>
        <v>46370</v>
      </c>
      <c r="C22" s="163">
        <f t="shared" si="0"/>
        <v>46370</v>
      </c>
      <c r="D22" s="164">
        <f>IF(VLOOKUP($B22,Datenblatt!$A$43:$A$65,1,1)=$B22,0,VLOOKUP(WEEKDAY($B22),Datenblatt!$X$46:$Z$52,3,FALSE))</f>
        <v>8</v>
      </c>
      <c r="E22" s="164">
        <f>IF(VLOOKUP($B22,Datenblatt!$A$43:$A$65,1,1)=$B22,0,IF(WEEKDAY($B22)=7,1,IF(WEEKDAY($B22)=1,0,2)))</f>
        <v>2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416" t="str">
        <f>IF(VLOOKUP($B22,Datenblatt!$A$43:$A$66,1,1)=$B22,VLOOKUP($B22,Datenblatt!$A$43:$C$66,3,FALSE)," ")</f>
        <v xml:space="preserve"> </v>
      </c>
      <c r="W22" s="417"/>
      <c r="X22" s="418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46371</v>
      </c>
      <c r="C23" s="163">
        <f t="shared" si="0"/>
        <v>46371</v>
      </c>
      <c r="D23" s="164">
        <f>IF(VLOOKUP($B23,Datenblatt!$A$43:$A$65,1,1)=$B23,0,VLOOKUP(WEEKDAY($B23),Datenblatt!$X$46:$Z$52,3,FALSE))</f>
        <v>8</v>
      </c>
      <c r="E23" s="164">
        <f>IF(VLOOKUP($B23,Datenblatt!$A$43:$A$65,1,1)=$B23,0,IF(WEEKDAY($B23)=7,1,IF(WEEKDAY($B23)=1,0,2)))</f>
        <v>2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416" t="str">
        <f>IF(VLOOKUP($B23,Datenblatt!$A$43:$A$66,1,1)=$B23,VLOOKUP($B23,Datenblatt!$A$43:$C$66,3,FALSE)," ")</f>
        <v xml:space="preserve"> </v>
      </c>
      <c r="W23" s="417"/>
      <c r="X23" s="418"/>
      <c r="AA23" s="179"/>
    </row>
    <row r="24" spans="2:128" ht="12.2" customHeight="1">
      <c r="B24" s="162">
        <f t="shared" si="4"/>
        <v>46372</v>
      </c>
      <c r="C24" s="163">
        <f t="shared" si="0"/>
        <v>46372</v>
      </c>
      <c r="D24" s="164">
        <f>IF(VLOOKUP($B24,Datenblatt!$A$43:$A$65,1,1)=$B24,0,VLOOKUP(WEEKDAY($B24),Datenblatt!$X$46:$Z$52,3,FALSE))</f>
        <v>8</v>
      </c>
      <c r="E24" s="164">
        <f>IF(VLOOKUP($B24,Datenblatt!$A$43:$A$65,1,1)=$B24,0,IF(WEEKDAY($B24)=7,1,IF(WEEKDAY($B24)=1,0,2)))</f>
        <v>2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416" t="str">
        <f>IF(VLOOKUP($B24,Datenblatt!$A$43:$A$66,1,1)=$B24,VLOOKUP($B24,Datenblatt!$A$43:$C$66,3,FALSE)," ")</f>
        <v xml:space="preserve"> </v>
      </c>
      <c r="W24" s="417"/>
      <c r="X24" s="418"/>
      <c r="AA24" s="179"/>
    </row>
    <row r="25" spans="2:128" ht="12.2" customHeight="1">
      <c r="B25" s="162">
        <f t="shared" si="4"/>
        <v>46373</v>
      </c>
      <c r="C25" s="163">
        <f t="shared" si="0"/>
        <v>46373</v>
      </c>
      <c r="D25" s="164">
        <f>IF(VLOOKUP($B25,Datenblatt!$A$43:$A$65,1,1)=$B25,0,VLOOKUP(WEEKDAY($B25),Datenblatt!$X$46:$Z$52,3,FALSE))</f>
        <v>8</v>
      </c>
      <c r="E25" s="164">
        <f>IF(VLOOKUP($B25,Datenblatt!$A$43:$A$65,1,1)=$B25,0,IF(WEEKDAY($B25)=7,1,IF(WEEKDAY($B25)=1,0,2)))</f>
        <v>2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416" t="str">
        <f>IF(VLOOKUP($B25,Datenblatt!$A$43:$A$66,1,1)=$B25,VLOOKUP($B25,Datenblatt!$A$43:$C$66,3,FALSE)," ")</f>
        <v xml:space="preserve"> </v>
      </c>
      <c r="W25" s="417"/>
      <c r="X25" s="418"/>
      <c r="AA25" s="179"/>
    </row>
    <row r="26" spans="2:128" ht="12.2" customHeight="1">
      <c r="B26" s="162">
        <f t="shared" si="4"/>
        <v>46374</v>
      </c>
      <c r="C26" s="163">
        <f t="shared" si="0"/>
        <v>46374</v>
      </c>
      <c r="D26" s="164">
        <f>IF(VLOOKUP($B26,Datenblatt!$A$43:$A$65,1,1)=$B26,0,VLOOKUP(WEEKDAY($B26),Datenblatt!$X$46:$Z$52,3,FALSE))</f>
        <v>8</v>
      </c>
      <c r="E26" s="164">
        <f>IF(VLOOKUP($B26,Datenblatt!$A$43:$A$65,1,1)=$B26,0,IF(WEEKDAY($B26)=7,1,IF(WEEKDAY($B26)=1,0,2)))</f>
        <v>2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416" t="str">
        <f>IF(VLOOKUP($B26,Datenblatt!$A$43:$A$66,1,1)=$B26,VLOOKUP($B26,Datenblatt!$A$43:$C$66,3,FALSE)," ")</f>
        <v xml:space="preserve"> </v>
      </c>
      <c r="W26" s="417"/>
      <c r="X26" s="418"/>
      <c r="AA26" s="179"/>
    </row>
    <row r="27" spans="2:128" ht="12.2" customHeight="1">
      <c r="B27" s="162">
        <f t="shared" si="4"/>
        <v>46375</v>
      </c>
      <c r="C27" s="163">
        <f t="shared" si="0"/>
        <v>46375</v>
      </c>
      <c r="D27" s="164">
        <f>IF(VLOOKUP($B27,Datenblatt!$A$43:$A$65,1,1)=$B27,0,VLOOKUP(WEEKDAY($B27),Datenblatt!$X$46:$Z$52,3,FALSE))</f>
        <v>0</v>
      </c>
      <c r="E27" s="164">
        <f>IF(VLOOKUP($B27,Datenblatt!$A$43:$A$65,1,1)=$B27,0,IF(WEEKDAY($B27)=7,1,IF(WEEKDAY($B27)=1,0,2)))</f>
        <v>1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416" t="str">
        <f>IF(VLOOKUP($B27,Datenblatt!$A$43:$A$66,1,1)=$B27,VLOOKUP($B27,Datenblatt!$A$43:$C$66,3,FALSE)," ")</f>
        <v xml:space="preserve"> </v>
      </c>
      <c r="W27" s="417"/>
      <c r="X27" s="418"/>
      <c r="AA27" s="179"/>
    </row>
    <row r="28" spans="2:128" ht="12.2" customHeight="1">
      <c r="B28" s="162">
        <f t="shared" si="4"/>
        <v>46376</v>
      </c>
      <c r="C28" s="163">
        <f t="shared" si="0"/>
        <v>46376</v>
      </c>
      <c r="D28" s="164">
        <f>IF(VLOOKUP($B28,Datenblatt!$A$43:$A$65,1,1)=$B28,0,VLOOKUP(WEEKDAY($B28),Datenblatt!$X$46:$Z$52,3,FALSE))</f>
        <v>0</v>
      </c>
      <c r="E28" s="164">
        <f>IF(VLOOKUP($B28,Datenblatt!$A$43:$A$65,1,1)=$B28,0,IF(WEEKDAY($B28)=7,1,IF(WEEKDAY($B28)=1,0,2)))</f>
        <v>0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416" t="str">
        <f>IF(VLOOKUP($B28,Datenblatt!$A$43:$A$66,1,1)=$B28,VLOOKUP($B28,Datenblatt!$A$43:$C$66,3,FALSE)," ")</f>
        <v xml:space="preserve"> </v>
      </c>
      <c r="W28" s="417"/>
      <c r="X28" s="418"/>
      <c r="AA28" s="179"/>
    </row>
    <row r="29" spans="2:128" ht="12.2" customHeight="1">
      <c r="B29" s="162">
        <f t="shared" si="4"/>
        <v>46377</v>
      </c>
      <c r="C29" s="163">
        <f t="shared" si="0"/>
        <v>46377</v>
      </c>
      <c r="D29" s="164">
        <f>IF(VLOOKUP($B29,Datenblatt!$A$43:$A$65,1,1)=$B29,0,VLOOKUP(WEEKDAY($B29),Datenblatt!$X$46:$Z$52,3,FALSE))</f>
        <v>8</v>
      </c>
      <c r="E29" s="164">
        <f>IF(VLOOKUP($B29,Datenblatt!$A$43:$A$65,1,1)=$B29,0,IF(WEEKDAY($B29)=7,1,IF(WEEKDAY($B29)=1,0,2)))</f>
        <v>2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416" t="str">
        <f>IF(VLOOKUP($B29,Datenblatt!$A$43:$A$66,1,1)=$B29,VLOOKUP($B29,Datenblatt!$A$43:$C$66,3,FALSE)," ")</f>
        <v xml:space="preserve"> </v>
      </c>
      <c r="W29" s="417"/>
      <c r="X29" s="418"/>
      <c r="AA29" s="179"/>
    </row>
    <row r="30" spans="2:128" ht="12.2" customHeight="1">
      <c r="B30" s="162">
        <f t="shared" si="4"/>
        <v>46378</v>
      </c>
      <c r="C30" s="163">
        <f t="shared" si="0"/>
        <v>46378</v>
      </c>
      <c r="D30" s="164">
        <f>IF(VLOOKUP($B30,Datenblatt!$A$43:$A$65,1,1)=$B30,0,VLOOKUP(WEEKDAY($B30),Datenblatt!$X$46:$Z$52,3,FALSE))</f>
        <v>8</v>
      </c>
      <c r="E30" s="164">
        <f>IF(VLOOKUP($B30,Datenblatt!$A$43:$A$65,1,1)=$B30,0,IF(WEEKDAY($B30)=7,1,IF(WEEKDAY($B30)=1,0,2)))</f>
        <v>2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416" t="str">
        <f>IF(VLOOKUP($B30,Datenblatt!$A$43:$A$66,1,1)=$B30,VLOOKUP($B30,Datenblatt!$A$43:$C$66,3,FALSE)," ")</f>
        <v xml:space="preserve"> </v>
      </c>
      <c r="W30" s="417"/>
      <c r="X30" s="418"/>
      <c r="AA30" s="179"/>
    </row>
    <row r="31" spans="2:128" ht="12.2" customHeight="1">
      <c r="B31" s="162">
        <f t="shared" si="4"/>
        <v>46379</v>
      </c>
      <c r="C31" s="163">
        <f t="shared" si="0"/>
        <v>46379</v>
      </c>
      <c r="D31" s="164">
        <f>IF(VLOOKUP($B31,Datenblatt!$A$43:$A$65,1,1)=$B31,0,VLOOKUP(WEEKDAY($B31),Datenblatt!$X$46:$Z$52,3,FALSE))</f>
        <v>8</v>
      </c>
      <c r="E31" s="164">
        <f>IF(VLOOKUP($B31,Datenblatt!$A$43:$A$65,1,1)=$B31,0,IF(WEEKDAY($B31)=7,1,IF(WEEKDAY($B31)=1,0,2)))</f>
        <v>2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416" t="str">
        <f>IF(VLOOKUP($B31,Datenblatt!$A$43:$A$66,1,1)=$B31,VLOOKUP($B31,Datenblatt!$A$43:$C$66,3,FALSE)," ")</f>
        <v xml:space="preserve"> </v>
      </c>
      <c r="W31" s="417"/>
      <c r="X31" s="418"/>
      <c r="AA31" s="179"/>
    </row>
    <row r="32" spans="2:128" ht="12.2" customHeight="1">
      <c r="B32" s="162">
        <f t="shared" si="4"/>
        <v>46380</v>
      </c>
      <c r="C32" s="163">
        <f t="shared" si="0"/>
        <v>46380</v>
      </c>
      <c r="D32" s="164">
        <f>IF(VLOOKUP($B32,Datenblatt!$A$43:$A$65,1,1)=$B32,0,VLOOKUP(WEEKDAY($B32),Datenblatt!$X$46:$Z$52,3,FALSE))</f>
        <v>0</v>
      </c>
      <c r="E32" s="164">
        <f>IF(VLOOKUP($B32,Datenblatt!$A$43:$A$65,1,1)=$B32,0,IF(WEEKDAY($B32)=7,1,IF(WEEKDAY($B32)=1,0,2)))</f>
        <v>0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416" t="str">
        <f>IF(VLOOKUP($B32,Datenblatt!$A$43:$A$66,1,1)=$B32,VLOOKUP($B32,Datenblatt!$A$43:$C$66,3,FALSE)," ")</f>
        <v>Hl. Abend</v>
      </c>
      <c r="W32" s="417"/>
      <c r="X32" s="418"/>
      <c r="AA32" s="179"/>
    </row>
    <row r="33" spans="2:128" ht="12.2" customHeight="1">
      <c r="B33" s="162">
        <f t="shared" si="4"/>
        <v>46381</v>
      </c>
      <c r="C33" s="163">
        <f t="shared" si="0"/>
        <v>46381</v>
      </c>
      <c r="D33" s="164">
        <f>IF(VLOOKUP($B33,Datenblatt!$A$43:$A$65,1,1)=$B33,0,VLOOKUP(WEEKDAY($B33),Datenblatt!$X$46:$Z$52,3,FALSE))</f>
        <v>0</v>
      </c>
      <c r="E33" s="164">
        <f>IF(VLOOKUP($B33,Datenblatt!$A$43:$A$65,1,1)=$B33,0,IF(WEEKDAY($B33)=7,1,IF(WEEKDAY($B33)=1,0,2)))</f>
        <v>0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416" t="str">
        <f>IF(VLOOKUP($B33,Datenblatt!$A$43:$A$66,1,1)=$B33,VLOOKUP($B33,Datenblatt!$A$43:$C$66,3,FALSE)," ")</f>
        <v>Christtag</v>
      </c>
      <c r="W33" s="417"/>
      <c r="X33" s="418"/>
      <c r="AA33" s="179"/>
    </row>
    <row r="34" spans="2:128" ht="12.2" customHeight="1">
      <c r="B34" s="162">
        <f t="shared" si="4"/>
        <v>46382</v>
      </c>
      <c r="C34" s="163">
        <f t="shared" si="0"/>
        <v>46382</v>
      </c>
      <c r="D34" s="164">
        <f>IF(VLOOKUP($B34,Datenblatt!$A$43:$A$65,1,1)=$B34,0,VLOOKUP(WEEKDAY($B34),Datenblatt!$X$46:$Z$52,3,FALSE))</f>
        <v>0</v>
      </c>
      <c r="E34" s="164">
        <f>IF(VLOOKUP($B34,Datenblatt!$A$43:$A$65,1,1)=$B34,0,IF(WEEKDAY($B34)=7,1,IF(WEEKDAY($B34)=1,0,2)))</f>
        <v>0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416" t="str">
        <f>IF(VLOOKUP($B34,Datenblatt!$A$43:$A$66,1,1)=$B34,VLOOKUP($B34,Datenblatt!$A$43:$C$66,3,FALSE)," ")</f>
        <v>Stephanitag</v>
      </c>
      <c r="W34" s="417"/>
      <c r="X34" s="418"/>
      <c r="AA34" s="179"/>
    </row>
    <row r="35" spans="2:128" ht="12.2" customHeight="1">
      <c r="B35" s="162">
        <f t="shared" si="4"/>
        <v>46383</v>
      </c>
      <c r="C35" s="163">
        <f t="shared" si="0"/>
        <v>46383</v>
      </c>
      <c r="D35" s="164">
        <f>IF(VLOOKUP($B35,Datenblatt!$A$43:$A$65,1,1)=$B35,0,VLOOKUP(WEEKDAY($B35),Datenblatt!$X$46:$Z$52,3,FALSE))</f>
        <v>0</v>
      </c>
      <c r="E35" s="164">
        <f>IF(VLOOKUP($B35,Datenblatt!$A$43:$A$65,1,1)=$B35,0,IF(WEEKDAY($B35)=7,1,IF(WEEKDAY($B35)=1,0,2)))</f>
        <v>0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416" t="str">
        <f>IF(VLOOKUP($B35,Datenblatt!$A$43:$A$66,1,1)=$B35,VLOOKUP($B35,Datenblatt!$A$43:$C$66,3,FALSE)," ")</f>
        <v xml:space="preserve"> </v>
      </c>
      <c r="W35" s="417"/>
      <c r="X35" s="418"/>
      <c r="AA35" s="179"/>
    </row>
    <row r="36" spans="2:128" ht="12.2" customHeight="1">
      <c r="B36" s="162">
        <f t="shared" si="4"/>
        <v>46384</v>
      </c>
      <c r="C36" s="163">
        <f t="shared" si="0"/>
        <v>46384</v>
      </c>
      <c r="D36" s="164">
        <f>IF(VLOOKUP($B36,Datenblatt!$A$43:$A$65,1,1)=$B36,0,VLOOKUP(WEEKDAY($B36),Datenblatt!$X$46:$Z$52,3,FALSE))</f>
        <v>8</v>
      </c>
      <c r="E36" s="164">
        <f>IF(VLOOKUP($B36,Datenblatt!$A$43:$A$65,1,1)=$B36,0,IF(WEEKDAY($B36)=7,1,IF(WEEKDAY($B36)=1,0,2)))</f>
        <v>2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416" t="str">
        <f>IF(VLOOKUP($B36,Datenblatt!$A$43:$A$66,1,1)=$B36,VLOOKUP($B36,Datenblatt!$A$43:$C$66,3,FALSE)," ")</f>
        <v xml:space="preserve"> </v>
      </c>
      <c r="W36" s="417"/>
      <c r="X36" s="418"/>
      <c r="AA36" s="179"/>
    </row>
    <row r="37" spans="2:128" ht="12.2" customHeight="1">
      <c r="B37" s="162">
        <f t="shared" si="4"/>
        <v>46385</v>
      </c>
      <c r="C37" s="163">
        <f t="shared" si="0"/>
        <v>46385</v>
      </c>
      <c r="D37" s="164">
        <f>IF(VLOOKUP($B37,Datenblatt!$A$43:$A$65,1,1)=$B37,0,VLOOKUP(WEEKDAY($B37),Datenblatt!$X$46:$Z$52,3,FALSE))</f>
        <v>8</v>
      </c>
      <c r="E37" s="164">
        <f>IF(VLOOKUP($B37,Datenblatt!$A$43:$A$65,1,1)=$B37,0,IF(WEEKDAY($B37)=7,1,IF(WEEKDAY($B37)=1,0,2)))</f>
        <v>2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416" t="str">
        <f>IF(VLOOKUP($B37,Datenblatt!$A$43:$A$66,1,1)=$B37,VLOOKUP($B37,Datenblatt!$A$43:$C$66,3,FALSE)," ")</f>
        <v xml:space="preserve"> </v>
      </c>
      <c r="W37" s="417"/>
      <c r="X37" s="418"/>
      <c r="AA37" s="179"/>
    </row>
    <row r="38" spans="2:128" ht="12.2" customHeight="1">
      <c r="B38" s="162">
        <f t="shared" si="4"/>
        <v>46386</v>
      </c>
      <c r="C38" s="163">
        <f t="shared" si="0"/>
        <v>46386</v>
      </c>
      <c r="D38" s="164">
        <f>IF(VLOOKUP($B38,Datenblatt!$A$43:$A$65,1,1)=$B38,0,VLOOKUP(WEEKDAY($B38),Datenblatt!$X$46:$Z$52,3,FALSE))</f>
        <v>8</v>
      </c>
      <c r="E38" s="164">
        <f>IF(VLOOKUP($B38,Datenblatt!$A$43:$A$65,1,1)=$B38,0,IF(WEEKDAY($B38)=7,1,IF(WEEKDAY($B38)=1,0,2)))</f>
        <v>2</v>
      </c>
      <c r="F38" s="165"/>
      <c r="G38" s="166"/>
      <c r="H38" s="167"/>
      <c r="I38" s="168"/>
      <c r="J38" s="167"/>
      <c r="K38" s="168"/>
      <c r="L38" s="167"/>
      <c r="M38" s="169"/>
      <c r="N38" s="170"/>
      <c r="O38" s="170"/>
      <c r="P38" s="171"/>
      <c r="Q38" s="172"/>
      <c r="R38" s="173" t="str">
        <f t="shared" si="1"/>
        <v/>
      </c>
      <c r="S38" s="174" t="str">
        <f t="shared" si="2"/>
        <v/>
      </c>
      <c r="T38" s="175" t="str">
        <f t="shared" si="3"/>
        <v/>
      </c>
      <c r="U38" s="176"/>
      <c r="V38" s="416" t="str">
        <f>IF(VLOOKUP($B38,Datenblatt!$A$43:$A$66,1,1)=$B38,VLOOKUP($B38,Datenblatt!$A$43:$C$66,3,FALSE)," ")</f>
        <v xml:space="preserve"> </v>
      </c>
      <c r="W38" s="417"/>
      <c r="X38" s="418"/>
      <c r="AA38" s="179"/>
    </row>
    <row r="39" spans="2:128" ht="12.2" customHeight="1" thickBot="1">
      <c r="B39" s="162">
        <f t="shared" si="4"/>
        <v>46387</v>
      </c>
      <c r="C39" s="163">
        <f t="shared" si="0"/>
        <v>46387</v>
      </c>
      <c r="D39" s="164">
        <f>IF(VLOOKUP($B39,Datenblatt!$A$43:$A$65,1,1)=$B39,0,VLOOKUP(WEEKDAY($B39),Datenblatt!$X$46:$Z$52,3,FALSE))</f>
        <v>0</v>
      </c>
      <c r="E39" s="164">
        <f>IF(VLOOKUP($B39,Datenblatt!$A$43:$A$65,1,1)=$B39,0,IF(WEEKDAY($B39)=7,1,IF(WEEKDAY($B39)=1,0,2)))</f>
        <v>0</v>
      </c>
      <c r="F39" s="165"/>
      <c r="G39" s="166"/>
      <c r="H39" s="167"/>
      <c r="I39" s="168"/>
      <c r="J39" s="167"/>
      <c r="K39" s="168"/>
      <c r="L39" s="167"/>
      <c r="M39" s="169"/>
      <c r="N39" s="170"/>
      <c r="O39" s="170"/>
      <c r="P39" s="171"/>
      <c r="Q39" s="172"/>
      <c r="R39" s="173" t="str">
        <f t="shared" si="1"/>
        <v/>
      </c>
      <c r="S39" s="174" t="str">
        <f t="shared" si="2"/>
        <v/>
      </c>
      <c r="T39" s="175" t="str">
        <f t="shared" si="3"/>
        <v/>
      </c>
      <c r="U39" s="176"/>
      <c r="V39" s="424" t="str">
        <f>IF(VLOOKUP($B39,Datenblatt!$A$43:$A$66,1,1)=$B39,VLOOKUP($B39,Datenblatt!$A$43:$C$66,3,FALSE)," ")</f>
        <v>Silvester</v>
      </c>
      <c r="W39" s="425"/>
      <c r="X39" s="426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412"/>
      <c r="X40" s="41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19  Arbeitstage in diesem Monat</v>
      </c>
      <c r="C41" s="190"/>
      <c r="D41" s="215"/>
      <c r="E41" s="215"/>
      <c r="F41" s="215"/>
      <c r="G41" s="216"/>
      <c r="H41" s="215"/>
      <c r="I41" s="66"/>
      <c r="J41" s="66"/>
      <c r="K41" s="66"/>
      <c r="L41" s="66"/>
      <c r="M41" s="24" t="str">
        <f>"Sollstunden für Dezember "&amp;Datenblatt!$F$5&amp;":"</f>
        <v>Sollstunden für Dezember 2026:</v>
      </c>
      <c r="N41" s="66"/>
      <c r="O41" s="66"/>
      <c r="P41" s="194"/>
      <c r="R41" s="195"/>
      <c r="S41" s="398">
        <f>SUM(D9:D39)</f>
        <v>152</v>
      </c>
      <c r="T41" s="398"/>
      <c r="U41" s="196"/>
      <c r="V41" s="196"/>
      <c r="W41" s="197"/>
      <c r="X41" s="130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20" t="s">
        <v>239</v>
      </c>
      <c r="J42" s="420"/>
      <c r="K42" s="198"/>
      <c r="M42" s="198" t="str">
        <f>IF(S42&gt;=0,"Zeitguthaben im Monat Dezember "&amp;Datenblatt!F5&amp;":   ","Zeitdefizit im Monat Dezember "&amp;Datenblatt!F5&amp;":   ")</f>
        <v xml:space="preserve">Zeitguthaben im Monat Dezember 2026:   </v>
      </c>
      <c r="N42" s="198"/>
      <c r="O42" s="198"/>
      <c r="R42" s="199"/>
      <c r="S42" s="421" t="s">
        <v>239</v>
      </c>
      <c r="T42" s="421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November "&amp;Datenblatt!F5-1&amp;":   ","  - Zeitdefizit aus November "&amp;Datenblatt!F5&amp;":   ")</f>
        <v xml:space="preserve">  + Zeitguthaben aus November 2025:   </v>
      </c>
      <c r="S43" s="427" t="str">
        <f>Jän!S44</f>
        <v>________ h</v>
      </c>
      <c r="T43" s="427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198" t="str">
        <f>"Übertrag für Jänner "&amp;Datenblatt!F5+1</f>
        <v>Übertrag für Jänner 2027</v>
      </c>
      <c r="R44" s="204"/>
      <c r="S44" s="423" t="s">
        <v>239</v>
      </c>
      <c r="T44" s="423"/>
      <c r="U44" s="200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19">
        <f ca="1">TODAY()</f>
        <v>45935</v>
      </c>
      <c r="H45" s="419"/>
      <c r="I45" s="419"/>
      <c r="T45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G45:I45"/>
    <mergeCell ref="I42:J42"/>
    <mergeCell ref="S42:T42"/>
    <mergeCell ref="S43:T43"/>
    <mergeCell ref="S44:T44"/>
    <mergeCell ref="W7:W8"/>
    <mergeCell ref="F7:G7"/>
    <mergeCell ref="S7:S8"/>
    <mergeCell ref="X7:X8"/>
    <mergeCell ref="W40:X40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S41:T41"/>
    <mergeCell ref="L2:P2"/>
    <mergeCell ref="T4:U4"/>
    <mergeCell ref="T5:U5"/>
    <mergeCell ref="H7:M7"/>
    <mergeCell ref="N7:O7"/>
    <mergeCell ref="P7:P8"/>
    <mergeCell ref="Q7:Q8"/>
  </mergeCells>
  <phoneticPr fontId="2" type="noConversion"/>
  <conditionalFormatting sqref="A15 DY15:IV15">
    <cfRule type="cellIs" dxfId="10" priority="1" stopIfTrue="1" operator="equal">
      <formula>MATCH($E15,0)</formula>
    </cfRule>
    <cfRule type="expression" dxfId="9" priority="2" stopIfTrue="1">
      <formula>"WOCHENTAG($B8)=1"</formula>
    </cfRule>
    <cfRule type="expression" dxfId="8" priority="3" stopIfTrue="1">
      <formula>"WOCHENTAG($B8)=7"</formula>
    </cfRule>
  </conditionalFormatting>
  <conditionalFormatting sqref="B9:C39">
    <cfRule type="expression" dxfId="7" priority="8" stopIfTrue="1">
      <formula>($E9=1)</formula>
    </cfRule>
  </conditionalFormatting>
  <conditionalFormatting sqref="V9 B9:T39 V10:X10 V11:V39">
    <cfRule type="expression" dxfId="6" priority="4" stopIfTrue="1">
      <formula>($E9=0)</formula>
    </cfRule>
    <cfRule type="expression" dxfId="5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Q60"/>
  <sheetViews>
    <sheetView showGridLines="0" topLeftCell="A6" workbookViewId="0">
      <selection activeCell="B6" sqref="B6"/>
    </sheetView>
  </sheetViews>
  <sheetFormatPr baseColWidth="10" defaultColWidth="11.42578125" defaultRowHeight="12.75"/>
  <cols>
    <col min="1" max="1" width="0.85546875" customWidth="1"/>
    <col min="2" max="2" width="9.42578125" customWidth="1"/>
    <col min="3" max="4" width="5.85546875" customWidth="1"/>
    <col min="5" max="5" width="22.85546875" customWidth="1"/>
    <col min="6" max="6" width="5.28515625" customWidth="1"/>
    <col min="7" max="7" width="18" customWidth="1"/>
    <col min="8" max="8" width="23.85546875" customWidth="1"/>
    <col min="9" max="9" width="6.85546875" customWidth="1"/>
    <col min="10" max="10" width="5.5703125" style="94" customWidth="1"/>
    <col min="11" max="11" width="0.140625" customWidth="1"/>
    <col min="12" max="12" width="8.140625" customWidth="1"/>
    <col min="13" max="13" width="7.42578125" customWidth="1"/>
    <col min="14" max="14" width="9.85546875" customWidth="1"/>
    <col min="15" max="15" width="11" customWidth="1"/>
  </cols>
  <sheetData>
    <row r="1" spans="2:15" ht="18">
      <c r="B1" s="217" t="str">
        <f>"ANTRAG AUF REISEKOSTENERSATZ von "&amp;Datenblatt!D7</f>
        <v>ANTRAG AUF REISEKOSTENERSATZ von Vorname Familienname</v>
      </c>
      <c r="G1" s="71"/>
      <c r="H1" s="71"/>
      <c r="L1" s="42"/>
    </row>
    <row r="2" spans="2:15" ht="24.95" customHeight="1">
      <c r="B2" s="218" t="str">
        <f>"Dienststelle: "&amp;Datenblatt!$D$8</f>
        <v>Dienststelle: Angabe der Funktion</v>
      </c>
      <c r="G2" s="71"/>
      <c r="H2" s="71"/>
      <c r="I2" s="448" t="s">
        <v>0</v>
      </c>
      <c r="J2" s="448"/>
      <c r="K2" s="448"/>
      <c r="L2" s="448"/>
      <c r="M2" s="448"/>
      <c r="N2" s="448"/>
    </row>
    <row r="3" spans="2:15" ht="9.9499999999999993" customHeight="1"/>
    <row r="4" spans="2:15" s="2" customFormat="1" ht="12.75" customHeight="1">
      <c r="B4" s="219" t="s">
        <v>145</v>
      </c>
      <c r="C4" s="434" t="s">
        <v>146</v>
      </c>
      <c r="D4" s="434"/>
      <c r="E4" s="220" t="s">
        <v>147</v>
      </c>
      <c r="F4" s="434" t="s">
        <v>148</v>
      </c>
      <c r="G4" s="434"/>
      <c r="H4" s="434"/>
      <c r="I4" s="221" t="s">
        <v>149</v>
      </c>
      <c r="J4" s="222" t="s">
        <v>150</v>
      </c>
      <c r="K4" s="223"/>
      <c r="L4" s="435" t="s">
        <v>151</v>
      </c>
      <c r="M4" s="435"/>
      <c r="N4" s="224" t="s">
        <v>152</v>
      </c>
      <c r="O4" s="224" t="s">
        <v>153</v>
      </c>
    </row>
    <row r="5" spans="2:15" s="2" customFormat="1" ht="13.5" customHeight="1">
      <c r="B5" s="225" t="s">
        <v>154</v>
      </c>
      <c r="C5" s="226" t="s">
        <v>155</v>
      </c>
      <c r="D5" s="227" t="s">
        <v>156</v>
      </c>
      <c r="E5" s="228" t="s">
        <v>157</v>
      </c>
      <c r="F5" s="431" t="s">
        <v>158</v>
      </c>
      <c r="G5" s="431"/>
      <c r="H5" s="431"/>
      <c r="I5" s="229" t="s">
        <v>159</v>
      </c>
      <c r="J5" s="230" t="s">
        <v>160</v>
      </c>
      <c r="K5" s="231"/>
      <c r="L5" s="232" t="s">
        <v>161</v>
      </c>
      <c r="M5" s="233" t="s">
        <v>162</v>
      </c>
      <c r="N5" s="234" t="s">
        <v>163</v>
      </c>
      <c r="O5" s="234" t="s">
        <v>164</v>
      </c>
    </row>
    <row r="6" spans="2:15" s="2" customFormat="1" ht="15.4" customHeight="1">
      <c r="B6" s="235"/>
      <c r="C6" s="236"/>
      <c r="D6" s="237"/>
      <c r="E6" s="238"/>
      <c r="F6" s="447"/>
      <c r="G6" s="447"/>
      <c r="H6" s="447"/>
      <c r="I6" s="239"/>
      <c r="J6" s="240"/>
      <c r="K6" s="64" t="b">
        <f t="shared" ref="K6:K24" si="0">IF(J6&gt;0,L6*(J6*$M$31))</f>
        <v>0</v>
      </c>
      <c r="L6" s="241"/>
      <c r="M6" s="242"/>
      <c r="N6" s="243"/>
      <c r="O6" s="243"/>
    </row>
    <row r="7" spans="2:15" s="2" customFormat="1" ht="15.4" customHeight="1">
      <c r="B7" s="244"/>
      <c r="C7" s="245"/>
      <c r="D7" s="246"/>
      <c r="E7" s="247"/>
      <c r="F7" s="444"/>
      <c r="G7" s="444"/>
      <c r="H7" s="444"/>
      <c r="I7" s="248"/>
      <c r="J7" s="249"/>
      <c r="K7" s="64" t="b">
        <f t="shared" si="0"/>
        <v>0</v>
      </c>
      <c r="L7" s="250"/>
      <c r="M7" s="251"/>
      <c r="N7" s="252"/>
      <c r="O7" s="252"/>
    </row>
    <row r="8" spans="2:15" s="2" customFormat="1" ht="15.4" customHeight="1">
      <c r="B8" s="253"/>
      <c r="C8" s="254"/>
      <c r="D8" s="255"/>
      <c r="E8" s="256"/>
      <c r="F8" s="444"/>
      <c r="G8" s="444"/>
      <c r="H8" s="444"/>
      <c r="I8" s="257"/>
      <c r="J8" s="258"/>
      <c r="K8" s="64" t="b">
        <f t="shared" si="0"/>
        <v>0</v>
      </c>
      <c r="L8" s="259"/>
      <c r="M8" s="260"/>
      <c r="N8" s="261"/>
      <c r="O8" s="261"/>
    </row>
    <row r="9" spans="2:15" s="2" customFormat="1" ht="15.4" customHeight="1">
      <c r="B9" s="253"/>
      <c r="C9" s="254"/>
      <c r="D9" s="255"/>
      <c r="E9" s="256"/>
      <c r="F9" s="444"/>
      <c r="G9" s="444"/>
      <c r="H9" s="444"/>
      <c r="I9" s="257"/>
      <c r="J9" s="258"/>
      <c r="K9" s="64" t="b">
        <f t="shared" si="0"/>
        <v>0</v>
      </c>
      <c r="L9" s="259"/>
      <c r="M9" s="260"/>
      <c r="N9" s="261"/>
      <c r="O9" s="261"/>
    </row>
    <row r="10" spans="2:15" s="2" customFormat="1" ht="15.4" customHeight="1">
      <c r="B10" s="253"/>
      <c r="C10" s="254"/>
      <c r="D10" s="255"/>
      <c r="E10" s="256"/>
      <c r="F10" s="444"/>
      <c r="G10" s="444"/>
      <c r="H10" s="444"/>
      <c r="I10" s="257"/>
      <c r="J10" s="258"/>
      <c r="K10" s="64" t="b">
        <f t="shared" si="0"/>
        <v>0</v>
      </c>
      <c r="L10" s="259"/>
      <c r="M10" s="260"/>
      <c r="N10" s="261"/>
      <c r="O10" s="261"/>
    </row>
    <row r="11" spans="2:15" s="2" customFormat="1" ht="15.4" customHeight="1">
      <c r="B11" s="253"/>
      <c r="C11" s="254"/>
      <c r="D11" s="255"/>
      <c r="E11" s="256"/>
      <c r="F11" s="444"/>
      <c r="G11" s="444"/>
      <c r="H11" s="444"/>
      <c r="I11" s="257"/>
      <c r="J11" s="258"/>
      <c r="K11" s="64" t="b">
        <f t="shared" si="0"/>
        <v>0</v>
      </c>
      <c r="L11" s="259"/>
      <c r="M11" s="260"/>
      <c r="N11" s="261"/>
      <c r="O11" s="261"/>
    </row>
    <row r="12" spans="2:15" s="2" customFormat="1" ht="15.4" customHeight="1">
      <c r="B12" s="253"/>
      <c r="C12" s="254"/>
      <c r="D12" s="255"/>
      <c r="E12" s="256"/>
      <c r="F12" s="444"/>
      <c r="G12" s="444"/>
      <c r="H12" s="444"/>
      <c r="I12" s="257"/>
      <c r="J12" s="258"/>
      <c r="K12" s="64" t="b">
        <f t="shared" si="0"/>
        <v>0</v>
      </c>
      <c r="L12" s="259"/>
      <c r="M12" s="260"/>
      <c r="N12" s="261"/>
      <c r="O12" s="261"/>
    </row>
    <row r="13" spans="2:15" s="2" customFormat="1" ht="15.4" customHeight="1">
      <c r="B13" s="253"/>
      <c r="C13" s="254"/>
      <c r="D13" s="255"/>
      <c r="E13" s="256"/>
      <c r="F13" s="444"/>
      <c r="G13" s="444"/>
      <c r="H13" s="444"/>
      <c r="I13" s="257"/>
      <c r="J13" s="258"/>
      <c r="K13" s="64" t="b">
        <f t="shared" si="0"/>
        <v>0</v>
      </c>
      <c r="L13" s="259"/>
      <c r="M13" s="260"/>
      <c r="N13" s="261"/>
      <c r="O13" s="261"/>
    </row>
    <row r="14" spans="2:15" s="2" customFormat="1" ht="15.4" customHeight="1">
      <c r="B14" s="253"/>
      <c r="C14" s="254"/>
      <c r="D14" s="255"/>
      <c r="E14" s="256"/>
      <c r="F14" s="444"/>
      <c r="G14" s="444"/>
      <c r="H14" s="444"/>
      <c r="I14" s="257"/>
      <c r="J14" s="258"/>
      <c r="K14" s="64" t="b">
        <f t="shared" si="0"/>
        <v>0</v>
      </c>
      <c r="L14" s="259"/>
      <c r="M14" s="260"/>
      <c r="N14" s="261"/>
      <c r="O14" s="261"/>
    </row>
    <row r="15" spans="2:15" s="2" customFormat="1" ht="15.4" customHeight="1">
      <c r="B15" s="253"/>
      <c r="C15" s="254"/>
      <c r="D15" s="255"/>
      <c r="E15" s="256"/>
      <c r="F15" s="444"/>
      <c r="G15" s="444"/>
      <c r="H15" s="444"/>
      <c r="I15" s="257"/>
      <c r="J15" s="258"/>
      <c r="K15" s="64" t="b">
        <f t="shared" si="0"/>
        <v>0</v>
      </c>
      <c r="L15" s="259"/>
      <c r="M15" s="260"/>
      <c r="N15" s="261"/>
      <c r="O15" s="261"/>
    </row>
    <row r="16" spans="2:15" s="2" customFormat="1" ht="15.4" customHeight="1">
      <c r="B16" s="253"/>
      <c r="C16" s="254"/>
      <c r="D16" s="255"/>
      <c r="E16" s="256"/>
      <c r="F16" s="444"/>
      <c r="G16" s="444"/>
      <c r="H16" s="444"/>
      <c r="I16" s="257"/>
      <c r="J16" s="258"/>
      <c r="K16" s="64" t="b">
        <f t="shared" si="0"/>
        <v>0</v>
      </c>
      <c r="L16" s="259"/>
      <c r="M16" s="260"/>
      <c r="N16" s="261"/>
      <c r="O16" s="261"/>
    </row>
    <row r="17" spans="2:15" s="2" customFormat="1" ht="15.4" customHeight="1">
      <c r="B17" s="253"/>
      <c r="C17" s="254"/>
      <c r="D17" s="255"/>
      <c r="E17" s="256"/>
      <c r="F17" s="444"/>
      <c r="G17" s="444"/>
      <c r="H17" s="444"/>
      <c r="I17" s="257"/>
      <c r="J17" s="258"/>
      <c r="K17" s="64" t="b">
        <f t="shared" si="0"/>
        <v>0</v>
      </c>
      <c r="L17" s="259"/>
      <c r="M17" s="260"/>
      <c r="N17" s="261"/>
      <c r="O17" s="261"/>
    </row>
    <row r="18" spans="2:15" s="2" customFormat="1" ht="15.4" customHeight="1">
      <c r="B18" s="253"/>
      <c r="C18" s="254"/>
      <c r="D18" s="255"/>
      <c r="E18" s="256"/>
      <c r="F18" s="444"/>
      <c r="G18" s="444"/>
      <c r="H18" s="444"/>
      <c r="I18" s="257"/>
      <c r="J18" s="258"/>
      <c r="K18" s="64" t="b">
        <f t="shared" si="0"/>
        <v>0</v>
      </c>
      <c r="L18" s="259"/>
      <c r="M18" s="260"/>
      <c r="N18" s="261"/>
      <c r="O18" s="261"/>
    </row>
    <row r="19" spans="2:15" s="2" customFormat="1" ht="15.4" customHeight="1">
      <c r="B19" s="253"/>
      <c r="C19" s="254"/>
      <c r="D19" s="255"/>
      <c r="E19" s="256"/>
      <c r="F19" s="444"/>
      <c r="G19" s="444"/>
      <c r="H19" s="444"/>
      <c r="I19" s="257"/>
      <c r="J19" s="258"/>
      <c r="K19" s="64" t="b">
        <f t="shared" si="0"/>
        <v>0</v>
      </c>
      <c r="L19" s="259"/>
      <c r="M19" s="260"/>
      <c r="N19" s="261"/>
      <c r="O19" s="261"/>
    </row>
    <row r="20" spans="2:15" s="2" customFormat="1" ht="15.4" customHeight="1">
      <c r="B20" s="253"/>
      <c r="C20" s="254"/>
      <c r="D20" s="255"/>
      <c r="E20" s="256"/>
      <c r="F20" s="444"/>
      <c r="G20" s="444"/>
      <c r="H20" s="444"/>
      <c r="I20" s="257"/>
      <c r="J20" s="258"/>
      <c r="K20" s="64" t="b">
        <f t="shared" si="0"/>
        <v>0</v>
      </c>
      <c r="L20" s="259"/>
      <c r="M20" s="260"/>
      <c r="N20" s="261"/>
      <c r="O20" s="261"/>
    </row>
    <row r="21" spans="2:15" s="2" customFormat="1" ht="15.4" customHeight="1">
      <c r="B21" s="253"/>
      <c r="C21" s="254"/>
      <c r="D21" s="255"/>
      <c r="E21" s="256"/>
      <c r="F21" s="444"/>
      <c r="G21" s="444"/>
      <c r="H21" s="444"/>
      <c r="I21" s="257"/>
      <c r="J21" s="258"/>
      <c r="K21" s="64" t="b">
        <f t="shared" si="0"/>
        <v>0</v>
      </c>
      <c r="L21" s="259"/>
      <c r="M21" s="260"/>
      <c r="N21" s="261"/>
      <c r="O21" s="261"/>
    </row>
    <row r="22" spans="2:15" s="2" customFormat="1" ht="15.4" customHeight="1">
      <c r="B22" s="253"/>
      <c r="C22" s="254"/>
      <c r="D22" s="255"/>
      <c r="E22" s="256"/>
      <c r="F22" s="444"/>
      <c r="G22" s="444"/>
      <c r="H22" s="444"/>
      <c r="I22" s="257"/>
      <c r="J22" s="258"/>
      <c r="K22" s="64" t="b">
        <f t="shared" si="0"/>
        <v>0</v>
      </c>
      <c r="L22" s="259"/>
      <c r="M22" s="260"/>
      <c r="N22" s="261"/>
      <c r="O22" s="261"/>
    </row>
    <row r="23" spans="2:15" s="2" customFormat="1" ht="15.4" customHeight="1">
      <c r="B23" s="253"/>
      <c r="C23" s="254"/>
      <c r="D23" s="255"/>
      <c r="E23" s="256"/>
      <c r="F23" s="444"/>
      <c r="G23" s="444"/>
      <c r="H23" s="444"/>
      <c r="I23" s="257"/>
      <c r="J23" s="258"/>
      <c r="K23" s="64" t="b">
        <f t="shared" si="0"/>
        <v>0</v>
      </c>
      <c r="L23" s="259"/>
      <c r="M23" s="260"/>
      <c r="N23" s="261"/>
      <c r="O23" s="261"/>
    </row>
    <row r="24" spans="2:15" s="2" customFormat="1" ht="15.4" customHeight="1">
      <c r="B24" s="262"/>
      <c r="C24" s="263"/>
      <c r="D24" s="264"/>
      <c r="E24" s="265"/>
      <c r="F24" s="445"/>
      <c r="G24" s="445"/>
      <c r="H24" s="445"/>
      <c r="I24" s="266"/>
      <c r="J24" s="267"/>
      <c r="K24" s="64" t="b">
        <f t="shared" si="0"/>
        <v>0</v>
      </c>
      <c r="L24" s="268"/>
      <c r="M24" s="269"/>
      <c r="N24" s="270"/>
      <c r="O24" s="270"/>
    </row>
    <row r="25" spans="2:15" s="2" customFormat="1" ht="18" customHeight="1">
      <c r="B25" s="2" t="s">
        <v>165</v>
      </c>
      <c r="J25" s="66"/>
      <c r="K25" s="271">
        <f>SUM(K6:K24)</f>
        <v>0</v>
      </c>
      <c r="L25" s="272">
        <f>SUM(L6:L24)</f>
        <v>0</v>
      </c>
      <c r="M25" s="273">
        <f>SUM(M6:M24)</f>
        <v>0</v>
      </c>
      <c r="N25" s="274">
        <f>SUM(N6:N24)</f>
        <v>0</v>
      </c>
      <c r="O25" s="274">
        <f>SUM(O6:O24)</f>
        <v>0</v>
      </c>
    </row>
    <row r="26" spans="2:15" s="2" customFormat="1" ht="14.1" customHeight="1">
      <c r="J26" s="66"/>
    </row>
    <row r="27" spans="2:15" s="2" customFormat="1" ht="14.1" customHeight="1">
      <c r="G27" s="446" t="s">
        <v>166</v>
      </c>
      <c r="H27" s="446"/>
      <c r="I27" s="275"/>
      <c r="J27" s="276"/>
      <c r="K27" s="277"/>
      <c r="L27" s="278"/>
      <c r="M27" s="279" t="s">
        <v>167</v>
      </c>
      <c r="N27" s="280"/>
      <c r="O27" s="281" t="s">
        <v>168</v>
      </c>
    </row>
    <row r="28" spans="2:15" s="2" customFormat="1" ht="14.1" customHeight="1">
      <c r="G28" s="282" t="s">
        <v>169</v>
      </c>
      <c r="H28" s="282"/>
      <c r="I28" s="283"/>
      <c r="J28" s="284"/>
      <c r="K28" s="283"/>
      <c r="L28" s="283"/>
      <c r="M28" s="285">
        <f>N25</f>
        <v>0</v>
      </c>
      <c r="N28" s="441" t="str">
        <f>IF((M28=0),"",M28)</f>
        <v/>
      </c>
      <c r="O28" s="441"/>
    </row>
    <row r="29" spans="2:15" s="2" customFormat="1" ht="14.1" customHeight="1">
      <c r="B29" s="286">
        <f ca="1">TODAY()</f>
        <v>45935</v>
      </c>
      <c r="C29" s="287"/>
      <c r="D29" s="287"/>
      <c r="E29" s="288"/>
      <c r="F29" s="66"/>
      <c r="G29" s="436" t="s">
        <v>170</v>
      </c>
      <c r="H29" s="436"/>
      <c r="I29" s="436"/>
      <c r="J29" s="437">
        <f>L25</f>
        <v>0</v>
      </c>
      <c r="K29" s="437"/>
      <c r="L29" s="437"/>
      <c r="M29" s="289">
        <v>0.5</v>
      </c>
      <c r="N29" s="438" t="str">
        <f>IF((J29*M29=0),"",J29*M29)</f>
        <v/>
      </c>
      <c r="O29" s="438"/>
    </row>
    <row r="30" spans="2:15" s="2" customFormat="1" ht="14.1" customHeight="1">
      <c r="B30" s="286"/>
      <c r="C30" s="442" t="str">
        <f>Datenblatt!D7</f>
        <v>Vorname Familienname</v>
      </c>
      <c r="D30" s="442"/>
      <c r="E30" s="442"/>
      <c r="F30" s="66"/>
      <c r="G30" s="443" t="s">
        <v>171</v>
      </c>
      <c r="H30" s="443"/>
      <c r="I30" s="443"/>
      <c r="J30" s="437">
        <f>M25</f>
        <v>0</v>
      </c>
      <c r="K30" s="437"/>
      <c r="L30" s="437"/>
      <c r="M30" s="289">
        <v>0.5</v>
      </c>
      <c r="N30" s="438" t="str">
        <f>IF((J30*M30=0),"",(M30*J30))</f>
        <v/>
      </c>
      <c r="O30" s="438"/>
    </row>
    <row r="31" spans="2:15" s="2" customFormat="1" ht="14.1" customHeight="1">
      <c r="F31" s="290"/>
      <c r="G31" s="436" t="s">
        <v>172</v>
      </c>
      <c r="H31" s="436"/>
      <c r="I31" s="436"/>
      <c r="J31" s="437"/>
      <c r="K31" s="437"/>
      <c r="L31" s="437"/>
      <c r="M31" s="289">
        <v>0.15</v>
      </c>
      <c r="N31" s="438" t="str">
        <f>IF((K25=0),"",K25)</f>
        <v/>
      </c>
      <c r="O31" s="438"/>
    </row>
    <row r="32" spans="2:15" s="2" customFormat="1" ht="14.1" customHeight="1">
      <c r="G32" s="439" t="s">
        <v>173</v>
      </c>
      <c r="H32" s="439"/>
      <c r="I32" s="439"/>
      <c r="J32" s="440"/>
      <c r="K32" s="440"/>
      <c r="L32" s="440"/>
      <c r="M32" s="291">
        <f>O25</f>
        <v>0</v>
      </c>
      <c r="N32" s="438" t="str">
        <f>IF((M32=0),"",M32)</f>
        <v/>
      </c>
      <c r="O32" s="438"/>
    </row>
    <row r="33" spans="2:17" s="2" customFormat="1" ht="18" customHeight="1">
      <c r="H33" s="292"/>
      <c r="J33" s="293" t="s">
        <v>174</v>
      </c>
      <c r="K33" s="293"/>
      <c r="L33" s="293"/>
      <c r="M33" s="293"/>
      <c r="N33" s="433">
        <f>SUM(N28:N32)</f>
        <v>0</v>
      </c>
      <c r="O33" s="433"/>
    </row>
    <row r="34" spans="2:17" s="2" customFormat="1" ht="14.1" customHeight="1">
      <c r="B34" s="287"/>
      <c r="C34" s="287"/>
      <c r="D34" s="287"/>
      <c r="E34" s="287"/>
      <c r="G34" s="2" t="s">
        <v>175</v>
      </c>
      <c r="H34"/>
      <c r="I34"/>
      <c r="J34" s="94"/>
      <c r="K34"/>
      <c r="L34"/>
      <c r="M34"/>
      <c r="N34"/>
      <c r="O34"/>
      <c r="P34"/>
      <c r="Q34"/>
    </row>
    <row r="35" spans="2:17">
      <c r="B35" s="396" t="str">
        <f>Datenblatt!D39</f>
        <v>Name des unm. Vorgesetzten</v>
      </c>
      <c r="C35" s="396"/>
      <c r="D35" s="396"/>
      <c r="E35" s="396"/>
      <c r="F35" s="2"/>
      <c r="G35" s="2" t="s">
        <v>176</v>
      </c>
      <c r="H35" s="294"/>
    </row>
    <row r="41" spans="2:17">
      <c r="B41" s="295" t="s">
        <v>177</v>
      </c>
      <c r="C41" s="295"/>
      <c r="D41" s="295"/>
      <c r="E41" s="295"/>
    </row>
    <row r="43" spans="2:17">
      <c r="B43" s="219" t="s">
        <v>145</v>
      </c>
      <c r="C43" s="434" t="s">
        <v>146</v>
      </c>
      <c r="D43" s="434"/>
      <c r="E43" s="220" t="s">
        <v>147</v>
      </c>
      <c r="F43" s="434" t="s">
        <v>148</v>
      </c>
      <c r="G43" s="434"/>
      <c r="H43" s="434"/>
      <c r="I43" s="221" t="s">
        <v>149</v>
      </c>
      <c r="J43" s="222" t="s">
        <v>150</v>
      </c>
      <c r="K43" s="223"/>
      <c r="L43" s="435" t="s">
        <v>151</v>
      </c>
      <c r="M43" s="435"/>
      <c r="N43" s="224" t="s">
        <v>152</v>
      </c>
      <c r="O43" s="224" t="s">
        <v>153</v>
      </c>
    </row>
    <row r="44" spans="2:17">
      <c r="B44" s="225" t="s">
        <v>154</v>
      </c>
      <c r="C44" s="226" t="s">
        <v>155</v>
      </c>
      <c r="D44" s="227" t="s">
        <v>156</v>
      </c>
      <c r="E44" s="228" t="s">
        <v>157</v>
      </c>
      <c r="F44" s="431" t="s">
        <v>158</v>
      </c>
      <c r="G44" s="431"/>
      <c r="H44" s="431"/>
      <c r="I44" s="229" t="s">
        <v>159</v>
      </c>
      <c r="J44" s="230" t="s">
        <v>160</v>
      </c>
      <c r="K44" s="231"/>
      <c r="L44" s="232" t="s">
        <v>161</v>
      </c>
      <c r="M44" s="233" t="s">
        <v>162</v>
      </c>
      <c r="N44" s="234" t="s">
        <v>163</v>
      </c>
      <c r="O44" s="234" t="s">
        <v>164</v>
      </c>
    </row>
    <row r="45" spans="2:17">
      <c r="B45" s="296" t="s">
        <v>114</v>
      </c>
      <c r="C45" s="297">
        <v>8</v>
      </c>
      <c r="D45" s="298">
        <v>16.5</v>
      </c>
      <c r="E45" s="299" t="s">
        <v>178</v>
      </c>
      <c r="F45" s="432" t="s">
        <v>179</v>
      </c>
      <c r="G45" s="432"/>
      <c r="H45" s="432"/>
      <c r="I45" s="300">
        <v>236</v>
      </c>
      <c r="J45" s="301">
        <v>1</v>
      </c>
      <c r="K45" s="64">
        <f>IF(J45&gt;0,L45*(J45*$M$31))</f>
        <v>9.75</v>
      </c>
      <c r="L45" s="302">
        <v>65</v>
      </c>
      <c r="M45" s="303"/>
      <c r="N45" s="304"/>
      <c r="O45" s="304"/>
    </row>
    <row r="47" spans="2:17">
      <c r="B47" s="305" t="s">
        <v>180</v>
      </c>
      <c r="C47" s="305"/>
      <c r="D47" s="305"/>
      <c r="E47" s="305" t="s">
        <v>181</v>
      </c>
      <c r="F47" s="305"/>
      <c r="G47" s="305"/>
      <c r="H47" s="305"/>
      <c r="I47" s="305"/>
      <c r="J47" s="306"/>
      <c r="K47" s="305"/>
      <c r="L47" s="305"/>
      <c r="M47" s="305"/>
      <c r="N47" s="305"/>
      <c r="O47" s="305"/>
    </row>
    <row r="48" spans="2:17" ht="20.100000000000001" customHeight="1">
      <c r="B48" s="305" t="s">
        <v>182</v>
      </c>
      <c r="C48" s="305"/>
      <c r="D48" s="305"/>
      <c r="E48" s="305" t="s">
        <v>183</v>
      </c>
      <c r="F48" s="305"/>
      <c r="G48" s="305"/>
      <c r="H48" s="305"/>
      <c r="I48" s="305"/>
      <c r="J48" s="306"/>
      <c r="K48" s="305"/>
      <c r="L48" s="305"/>
      <c r="M48" s="305"/>
      <c r="N48" s="305"/>
      <c r="O48" s="305"/>
    </row>
    <row r="49" spans="2:15" ht="20.100000000000001" customHeight="1">
      <c r="B49" s="305" t="s">
        <v>184</v>
      </c>
      <c r="C49" s="305"/>
      <c r="D49" s="305"/>
      <c r="E49" s="305" t="s">
        <v>185</v>
      </c>
      <c r="F49" s="305"/>
      <c r="G49" s="305"/>
      <c r="H49" s="305"/>
      <c r="I49" s="305"/>
      <c r="J49" s="306"/>
      <c r="K49" s="305"/>
      <c r="L49" s="305"/>
      <c r="M49" s="305"/>
      <c r="N49" s="305"/>
      <c r="O49" s="305"/>
    </row>
    <row r="50" spans="2:15" ht="12.75" customHeight="1">
      <c r="B50" s="305"/>
      <c r="C50" s="305"/>
      <c r="D50" s="305"/>
      <c r="E50" s="305" t="s">
        <v>186</v>
      </c>
      <c r="F50" s="305"/>
      <c r="G50" s="305"/>
      <c r="H50" s="305"/>
      <c r="I50" s="305"/>
      <c r="J50" s="306"/>
      <c r="K50" s="305"/>
      <c r="L50" s="305"/>
      <c r="M50" s="305"/>
      <c r="N50" s="305"/>
      <c r="O50" s="305"/>
    </row>
    <row r="51" spans="2:15">
      <c r="B51" s="305"/>
      <c r="C51" s="305"/>
      <c r="D51" s="305"/>
      <c r="E51" s="305" t="s">
        <v>187</v>
      </c>
      <c r="F51" s="305"/>
      <c r="G51" s="305"/>
      <c r="H51" s="305"/>
      <c r="I51" s="305"/>
      <c r="J51" s="306"/>
      <c r="K51" s="305"/>
      <c r="L51" s="305"/>
      <c r="M51" s="305"/>
      <c r="N51" s="305"/>
      <c r="O51" s="305"/>
    </row>
    <row r="52" spans="2:15">
      <c r="B52" s="305"/>
      <c r="C52" s="305"/>
      <c r="D52" s="305"/>
      <c r="E52" s="305" t="s">
        <v>188</v>
      </c>
      <c r="F52" s="305"/>
      <c r="G52" s="305"/>
      <c r="H52" s="305"/>
      <c r="I52" s="305"/>
      <c r="J52" s="306"/>
      <c r="K52" s="305"/>
      <c r="L52" s="305"/>
      <c r="M52" s="305"/>
      <c r="N52" s="305"/>
      <c r="O52" s="305"/>
    </row>
    <row r="53" spans="2:15">
      <c r="B53" s="305" t="s">
        <v>153</v>
      </c>
      <c r="C53" s="305"/>
      <c r="D53" s="305"/>
      <c r="E53" s="305"/>
      <c r="F53" s="305"/>
      <c r="G53" s="305"/>
      <c r="H53" s="305"/>
      <c r="I53" s="305"/>
      <c r="J53" s="306"/>
      <c r="K53" s="305"/>
      <c r="L53" s="305"/>
      <c r="M53" s="305"/>
      <c r="N53" s="305"/>
      <c r="O53" s="305"/>
    </row>
    <row r="54" spans="2:15">
      <c r="B54" s="305" t="s">
        <v>189</v>
      </c>
      <c r="C54" s="305"/>
      <c r="D54" s="305"/>
      <c r="E54" s="305" t="s">
        <v>190</v>
      </c>
      <c r="F54" s="305"/>
      <c r="G54" s="305"/>
      <c r="H54" s="305"/>
      <c r="I54" s="305"/>
      <c r="J54" s="306"/>
      <c r="K54" s="305"/>
      <c r="L54" s="305"/>
      <c r="M54" s="305"/>
      <c r="N54" s="305"/>
      <c r="O54" s="305"/>
    </row>
    <row r="55" spans="2:15">
      <c r="B55" s="305"/>
      <c r="C55" s="305"/>
      <c r="D55" s="305"/>
      <c r="E55" s="305"/>
      <c r="F55" s="305"/>
      <c r="G55" s="305"/>
      <c r="H55" s="305"/>
      <c r="I55" s="305"/>
      <c r="J55" s="306"/>
      <c r="K55" s="305"/>
      <c r="L55" s="305"/>
      <c r="M55" s="305"/>
      <c r="N55" s="305"/>
      <c r="O55" s="305"/>
    </row>
    <row r="56" spans="2:15">
      <c r="B56" s="305"/>
      <c r="C56" s="305"/>
      <c r="D56" s="305"/>
      <c r="E56" s="305"/>
      <c r="F56" s="305"/>
      <c r="G56" s="305"/>
      <c r="H56" s="305"/>
      <c r="I56" s="305"/>
      <c r="J56" s="306"/>
      <c r="K56" s="305"/>
      <c r="L56" s="305"/>
      <c r="M56" s="305"/>
      <c r="N56" s="305"/>
      <c r="O56" s="305"/>
    </row>
    <row r="57" spans="2:15">
      <c r="B57" s="305"/>
      <c r="C57" s="305"/>
      <c r="D57" s="305"/>
      <c r="E57" s="305"/>
      <c r="F57" s="305"/>
      <c r="G57" s="305"/>
      <c r="H57" s="305"/>
      <c r="I57" s="305"/>
      <c r="J57" s="306"/>
      <c r="K57" s="305"/>
      <c r="L57" s="305"/>
      <c r="M57" s="305"/>
      <c r="N57" s="305"/>
      <c r="O57" s="305"/>
    </row>
    <row r="58" spans="2:15">
      <c r="B58" s="305"/>
      <c r="C58" s="305"/>
      <c r="D58" s="305"/>
      <c r="E58" s="305"/>
      <c r="F58" s="305"/>
      <c r="G58" s="305"/>
      <c r="H58" s="305"/>
      <c r="I58" s="305"/>
      <c r="J58" s="306"/>
      <c r="K58" s="305"/>
      <c r="L58" s="305"/>
      <c r="M58" s="305"/>
      <c r="N58" s="305"/>
      <c r="O58" s="305"/>
    </row>
    <row r="59" spans="2:15">
      <c r="B59" s="305"/>
      <c r="C59" s="305"/>
      <c r="D59" s="305"/>
      <c r="E59" s="305"/>
      <c r="F59" s="305"/>
      <c r="G59" s="305"/>
      <c r="H59" s="305"/>
      <c r="I59" s="305"/>
      <c r="J59" s="306"/>
      <c r="K59" s="305"/>
      <c r="L59" s="305"/>
      <c r="M59" s="305"/>
      <c r="N59" s="305"/>
      <c r="O59" s="305"/>
    </row>
    <row r="60" spans="2:15">
      <c r="B60" s="305"/>
      <c r="C60" s="305"/>
      <c r="D60" s="305"/>
      <c r="E60" s="305"/>
      <c r="F60" s="305"/>
      <c r="G60" s="305"/>
      <c r="H60" s="305"/>
      <c r="I60" s="305"/>
      <c r="J60" s="306"/>
      <c r="K60" s="305"/>
      <c r="L60" s="305"/>
      <c r="M60" s="305"/>
      <c r="N60" s="305"/>
      <c r="O60" s="305"/>
    </row>
  </sheetData>
  <sheetProtection sheet="1" objects="1" scenarios="1" selectLockedCells="1"/>
  <mergeCells count="46">
    <mergeCell ref="I2:N2"/>
    <mergeCell ref="C4:D4"/>
    <mergeCell ref="F4:H4"/>
    <mergeCell ref="L4:M4"/>
    <mergeCell ref="F5:H5"/>
    <mergeCell ref="F6:H6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G27:H27"/>
    <mergeCell ref="N28:O28"/>
    <mergeCell ref="G29:I29"/>
    <mergeCell ref="J29:L29"/>
    <mergeCell ref="N29:O29"/>
    <mergeCell ref="C30:E30"/>
    <mergeCell ref="G30:I30"/>
    <mergeCell ref="J30:L30"/>
    <mergeCell ref="N30:O30"/>
    <mergeCell ref="G31:I31"/>
    <mergeCell ref="J31:L31"/>
    <mergeCell ref="N31:O31"/>
    <mergeCell ref="G32:I32"/>
    <mergeCell ref="J32:L32"/>
    <mergeCell ref="N32:O32"/>
    <mergeCell ref="F44:H44"/>
    <mergeCell ref="F45:H45"/>
    <mergeCell ref="N33:O33"/>
    <mergeCell ref="B35:E35"/>
    <mergeCell ref="C43:D43"/>
    <mergeCell ref="F43:H43"/>
    <mergeCell ref="L43:M43"/>
  </mergeCells>
  <phoneticPr fontId="2" type="noConversion"/>
  <pageMargins left="0.39374999999999999" right="0.39374999999999999" top="0.39374999999999999" bottom="0.39374999999999999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40"/>
  <sheetViews>
    <sheetView showGridLines="0" workbookViewId="0">
      <selection activeCell="A40" sqref="A40"/>
    </sheetView>
  </sheetViews>
  <sheetFormatPr baseColWidth="10" defaultRowHeight="12.75"/>
  <cols>
    <col min="1" max="1" width="0.42578125" customWidth="1"/>
    <col min="2" max="2" width="6.28515625" style="25" customWidth="1"/>
    <col min="3" max="3" width="4.42578125" style="68" customWidth="1"/>
    <col min="4" max="4" width="6.28515625" style="25" customWidth="1"/>
    <col min="5" max="5" width="4.42578125" style="68" customWidth="1"/>
    <col min="6" max="6" width="6.28515625" style="25" customWidth="1"/>
    <col min="7" max="7" width="4.42578125" style="68" customWidth="1"/>
    <col min="8" max="8" width="6.28515625" style="25" customWidth="1"/>
    <col min="9" max="9" width="4.42578125" style="68" customWidth="1"/>
    <col min="10" max="10" width="6.28515625" style="25" customWidth="1"/>
    <col min="11" max="11" width="4.42578125" style="68" customWidth="1"/>
    <col min="12" max="12" width="6.28515625" style="25" customWidth="1"/>
    <col min="13" max="13" width="4.42578125" style="68" customWidth="1"/>
    <col min="14" max="14" width="6.28515625" style="25" customWidth="1"/>
    <col min="15" max="15" width="4.42578125" style="68" customWidth="1"/>
    <col min="16" max="16" width="6.28515625" style="25" customWidth="1"/>
    <col min="17" max="17" width="4.42578125" style="68" customWidth="1"/>
    <col min="18" max="18" width="6.28515625" style="25" customWidth="1"/>
    <col min="19" max="19" width="4.42578125" style="68" customWidth="1"/>
    <col min="20" max="20" width="6.28515625" style="25" customWidth="1"/>
    <col min="21" max="21" width="4.42578125" style="68" customWidth="1"/>
    <col min="22" max="22" width="6.28515625" style="25" customWidth="1"/>
    <col min="23" max="23" width="4.42578125" style="68" customWidth="1"/>
    <col min="24" max="24" width="6.28515625" style="25" customWidth="1"/>
    <col min="25" max="25" width="4.42578125" style="68" customWidth="1"/>
  </cols>
  <sheetData>
    <row r="1" spans="1:26" ht="18">
      <c r="E1" s="307" t="s">
        <v>0</v>
      </c>
      <c r="F1" s="135"/>
      <c r="G1" s="135"/>
      <c r="H1" s="135"/>
      <c r="I1" s="308"/>
      <c r="J1" s="309"/>
      <c r="K1" s="309"/>
      <c r="L1" s="133"/>
      <c r="M1" s="131"/>
      <c r="N1" s="131"/>
      <c r="O1" s="131"/>
    </row>
    <row r="2" spans="1:26" ht="27.95" customHeight="1">
      <c r="B2" s="310"/>
      <c r="C2" s="311"/>
      <c r="D2" s="310"/>
      <c r="E2" s="312" t="str">
        <f>Datenblatt!A2</f>
        <v>Bezeichnung der Dienststelle</v>
      </c>
      <c r="F2" s="313"/>
      <c r="G2" s="313"/>
      <c r="H2" s="313"/>
      <c r="I2" s="314"/>
      <c r="J2" s="315"/>
      <c r="K2" s="315"/>
      <c r="L2" s="316"/>
      <c r="M2" s="314"/>
      <c r="N2" s="314"/>
      <c r="O2" s="311"/>
      <c r="P2" s="310"/>
      <c r="Q2" s="311"/>
      <c r="R2" s="310"/>
      <c r="S2" s="311"/>
      <c r="T2" s="310"/>
      <c r="U2" s="311"/>
      <c r="V2" s="310"/>
      <c r="W2" s="311"/>
      <c r="X2" s="310"/>
      <c r="Y2" s="317" t="str">
        <f>Datenblatt!D8</f>
        <v>Angabe der Funktion</v>
      </c>
    </row>
    <row r="3" spans="1:26" ht="9.9499999999999993" customHeight="1"/>
    <row r="4" spans="1:26" ht="15.75">
      <c r="B4" s="318" t="str">
        <f>"Jahresübersicht Jänner - Dezember "&amp;Datenblatt!F5&amp;":"</f>
        <v>Jahresübersicht Jänner - Dezember 2026:</v>
      </c>
      <c r="F4" s="318"/>
      <c r="K4" s="318" t="str">
        <f>Datenblatt!D7</f>
        <v>Vorname Familienname</v>
      </c>
      <c r="N4" s="318"/>
      <c r="R4" s="319"/>
      <c r="T4" s="24"/>
      <c r="W4" s="451"/>
      <c r="X4" s="451"/>
    </row>
    <row r="5" spans="1:26" ht="6" customHeight="1">
      <c r="B5" s="318"/>
      <c r="F5" s="318"/>
      <c r="K5" s="318"/>
      <c r="N5" s="318"/>
      <c r="R5" s="319"/>
      <c r="T5" s="24"/>
      <c r="W5" s="320"/>
      <c r="X5" s="320"/>
    </row>
    <row r="6" spans="1:26">
      <c r="B6" s="24" t="str">
        <f>"Sollstunden im Jahr "&amp;Datenblatt!F5&amp;":"</f>
        <v>Sollstunden im Jahr 2026:</v>
      </c>
      <c r="F6" s="452">
        <f>Jän!S41+Feb!S41+März!S41+April!S41+Mai!S41+Juni!S41+Juli!S41+Aug!S41+Sept!S41+Okt!S41+Nov!S41+Dez!S41</f>
        <v>1976</v>
      </c>
      <c r="G6" s="452"/>
      <c r="H6" s="24" t="str">
        <f>IF(Datenblatt!D13&gt;=0,"Zeitguthaben per 31.12."&amp;Datenblatt!F5-1&amp;":","Zeitdefizit per 31.12."&amp;Datenblatt!F5-1&amp;":")</f>
        <v>Zeitguthaben per 31.12.2025:</v>
      </c>
      <c r="L6" s="452">
        <f>Datenblatt!D13</f>
        <v>0</v>
      </c>
      <c r="M6" s="452"/>
      <c r="P6" s="321"/>
      <c r="R6" s="322" t="str">
        <f>IF(Dez!S44&gt;=0,"Zeitguthaben per 31.12."&amp;Datenblatt!F5&amp;":","Zeitdefizit per 31.12."&amp;Datenblatt!F5&amp;":")</f>
        <v>Zeitguthaben per 31.12.2026:</v>
      </c>
      <c r="S6" s="24"/>
      <c r="T6" s="323"/>
      <c r="U6" s="322"/>
      <c r="W6" s="453" t="str">
        <f>Dez!S44</f>
        <v>________ h</v>
      </c>
      <c r="X6" s="453"/>
      <c r="Y6" s="453"/>
    </row>
    <row r="7" spans="1:26" s="2" customFormat="1" ht="12.75" customHeight="1">
      <c r="B7" s="24" t="str">
        <f>"Geleistete Arbeitsstunden:"</f>
        <v>Geleistete Arbeitsstunden:</v>
      </c>
      <c r="C7" s="324"/>
      <c r="D7" s="24"/>
      <c r="E7" s="66"/>
      <c r="F7" s="452">
        <f>Jän!T40+Feb!T40+März!T40+April!T40+Mai!T40+Juni!T40+Juli!T40+Aug!T40+Sept!T40+Okt!T40+Nov!T40+Dez!T40-K7-P7</f>
        <v>0</v>
      </c>
      <c r="G7" s="452"/>
      <c r="H7" s="24" t="str">
        <f>"Konsumierter Urlaub:"</f>
        <v>Konsumierter Urlaub:</v>
      </c>
      <c r="K7" s="452">
        <f>Jän!Q40+Feb!Q40+März!Q40+April!Q40+Mai!Q40+Juni!Q40+Juli!Q40+Aug!Q40+Sept!Q40+Okt!Q40+Nov!Q40+Dez!Q40</f>
        <v>0</v>
      </c>
      <c r="L7" s="452"/>
      <c r="M7" s="393" t="str">
        <f>"Krankenstände:"</f>
        <v>Krankenstände:</v>
      </c>
      <c r="N7" s="393"/>
      <c r="O7" s="393"/>
      <c r="P7" s="454">
        <f>Jän!P40+Feb!P40+März!P40+April!P40+Mai!P40+Juni!P40+Juli!P40+Aug!P40+Sept!P40+Okt!P40+Nov!P40+Dez!P40</f>
        <v>0</v>
      </c>
      <c r="Q7" s="454"/>
      <c r="R7" s="325" t="str">
        <f>"Resturlaub per 31.12."&amp;Datenblatt!F5&amp;":"</f>
        <v>Resturlaub per 31.12.2026:</v>
      </c>
      <c r="T7" s="325"/>
      <c r="U7" s="106"/>
      <c r="W7" s="325"/>
      <c r="X7" s="450" t="str">
        <f>Dez!T5</f>
        <v>______ h</v>
      </c>
      <c r="Y7" s="450"/>
      <c r="Z7" s="326"/>
    </row>
    <row r="8" spans="1:26" ht="9.9499999999999993" customHeight="1"/>
    <row r="9" spans="1:26">
      <c r="B9" s="449" t="s">
        <v>191</v>
      </c>
      <c r="C9" s="449"/>
      <c r="D9" s="449" t="s">
        <v>192</v>
      </c>
      <c r="E9" s="449"/>
      <c r="F9" s="449" t="s">
        <v>8</v>
      </c>
      <c r="G9" s="449"/>
      <c r="H9" s="449" t="s">
        <v>9</v>
      </c>
      <c r="I9" s="449"/>
      <c r="J9" s="449" t="s">
        <v>10</v>
      </c>
      <c r="K9" s="449"/>
      <c r="L9" s="449" t="s">
        <v>11</v>
      </c>
      <c r="M9" s="449"/>
      <c r="N9" s="449" t="s">
        <v>40</v>
      </c>
      <c r="O9" s="449"/>
      <c r="P9" s="449" t="s">
        <v>41</v>
      </c>
      <c r="Q9" s="449"/>
      <c r="R9" s="449" t="s">
        <v>42</v>
      </c>
      <c r="S9" s="449"/>
      <c r="T9" s="449" t="s">
        <v>43</v>
      </c>
      <c r="U9" s="449"/>
      <c r="V9" s="449" t="s">
        <v>44</v>
      </c>
      <c r="W9" s="449"/>
      <c r="X9" s="449" t="s">
        <v>45</v>
      </c>
      <c r="Y9" s="449"/>
    </row>
    <row r="10" spans="1:26" ht="12.4" customHeight="1">
      <c r="A10" s="91">
        <f>Datenblatt!A43</f>
        <v>46023</v>
      </c>
      <c r="B10" s="327">
        <f>DATE(Datenblatt!$F$5,1,1)</f>
        <v>46023</v>
      </c>
      <c r="C10" s="328" t="str">
        <f>IF(Jän!$P9&gt;0,"K",IF(Jän!$Q9&gt;0,"U",IF(Jän!$T9="","",Jän!$T9)))</f>
        <v/>
      </c>
      <c r="D10" s="327">
        <f>DATE(Datenblatt!$F$5,2,1)</f>
        <v>46054</v>
      </c>
      <c r="E10" s="328" t="str">
        <f>IF(Feb!$P9&gt;0,"K",IF(Feb!$Q9&gt;0,"U",IF(Feb!$T9="","",Feb!$T9)))</f>
        <v/>
      </c>
      <c r="F10" s="327">
        <f>DATE(Datenblatt!$F$5,3,1)</f>
        <v>46082</v>
      </c>
      <c r="G10" s="328" t="str">
        <f>IF(März!$P9&gt;0,"K",IF(März!$Q9&gt;0,"U",IF(März!$T9="","",März!$T9)))</f>
        <v/>
      </c>
      <c r="H10" s="327">
        <f>DATE(Datenblatt!$F$5,4,1)</f>
        <v>46113</v>
      </c>
      <c r="I10" s="328" t="str">
        <f>IF(April!$P9&gt;0,"K",IF(April!$Q9&gt;0,"U",IF(April!$T9="","",April!$T9)))</f>
        <v/>
      </c>
      <c r="J10" s="329">
        <f>DATE(Datenblatt!$F$5,5,1)</f>
        <v>46143</v>
      </c>
      <c r="K10" s="328" t="str">
        <f>IF(Mai!$P9&gt;0,"K",IF(Mai!$Q9&gt;0,"U",IF(Mai!$T9="","",Mai!$T9)))</f>
        <v/>
      </c>
      <c r="L10" s="327">
        <f>DATE(Datenblatt!$F$5,6,1)</f>
        <v>46174</v>
      </c>
      <c r="M10" s="328" t="str">
        <f>IF(Juni!$P9&gt;0,"K",IF(Juni!$Q9&gt;0,"U",IF(Juni!$T9="","",Juni!$T9)))</f>
        <v/>
      </c>
      <c r="N10" s="327">
        <f>DATE(Datenblatt!$F$5,7,1)</f>
        <v>46204</v>
      </c>
      <c r="O10" s="328" t="str">
        <f>IF(Juli!$P9&gt;0,"K",IF(Juli!$Q9&gt;0,"U",IF(Juli!$T9="","",Juli!$T9)))</f>
        <v/>
      </c>
      <c r="P10" s="327">
        <f>DATE(Datenblatt!$F$5,8,1)</f>
        <v>46235</v>
      </c>
      <c r="Q10" s="328" t="str">
        <f>IF(Aug!$P9&gt;0,"K",IF(Aug!$Q9&gt;0,"U",IF(Aug!$T9="","",Aug!$T9)))</f>
        <v/>
      </c>
      <c r="R10" s="327">
        <f>DATE(Datenblatt!$F$5,9,1)</f>
        <v>46266</v>
      </c>
      <c r="S10" s="328" t="str">
        <f>IF(Sept!$P9&gt;0,"K",IF(Sept!$Q9&gt;0,"U",IF(Sept!$T9="","",Sept!$T9)))</f>
        <v/>
      </c>
      <c r="T10" s="327">
        <f>DATE(Datenblatt!$F$5,10,1)</f>
        <v>46296</v>
      </c>
      <c r="U10" s="328" t="str">
        <f>IF(Okt!$P9&gt;0,"K",IF(Okt!$Q9&gt;0,"U",IF(Okt!$T9="","",Okt!$T9)))</f>
        <v/>
      </c>
      <c r="V10" s="327">
        <f>DATE(Datenblatt!$F$5,11,1)</f>
        <v>46327</v>
      </c>
      <c r="W10" s="328" t="str">
        <f>IF(Nov!$P9&gt;0,"K",IF(Nov!$Q9&gt;0,"U",IF(Nov!$T9="","",Nov!$T9)))</f>
        <v/>
      </c>
      <c r="X10" s="330">
        <f>DATE(Datenblatt!$F$5,12,1)</f>
        <v>46357</v>
      </c>
      <c r="Y10" s="331" t="str">
        <f>IF(Dez!$P9&gt;0,"K",IF(Dez!$Q9&gt;0,"U",IF(Dez!$T9="","",Dez!$T9)))</f>
        <v/>
      </c>
    </row>
    <row r="11" spans="1:26" ht="12.4" customHeight="1">
      <c r="A11" s="91">
        <f>Datenblatt!A44</f>
        <v>46028</v>
      </c>
      <c r="B11" s="327">
        <f t="shared" ref="B11:B40" si="0">B10+1</f>
        <v>46024</v>
      </c>
      <c r="C11" s="328" t="str">
        <f>IF(Jän!$P10&gt;0,"K",IF(Jän!$Q10&gt;0,"U",IF(Jän!$T10="","",Jän!$T10)))</f>
        <v/>
      </c>
      <c r="D11" s="327">
        <f t="shared" ref="D11:D37" si="1">D10+1</f>
        <v>46055</v>
      </c>
      <c r="E11" s="328" t="str">
        <f>IF(Feb!$P10&gt;0,"K",IF(Feb!$Q10&gt;0,"U",IF(Feb!$T10="","",Feb!$T10)))</f>
        <v/>
      </c>
      <c r="F11" s="327">
        <f t="shared" ref="F11:F40" si="2">F10+1</f>
        <v>46083</v>
      </c>
      <c r="G11" s="328" t="str">
        <f>IF(März!$P10&gt;0,"K",IF(März!$Q10&gt;0,"U",IF(März!$T10="","",März!$T10)))</f>
        <v/>
      </c>
      <c r="H11" s="327">
        <f t="shared" ref="H11:H39" si="3">H10+1</f>
        <v>46114</v>
      </c>
      <c r="I11" s="328" t="str">
        <f>IF(April!$P10&gt;0,"K",IF(April!$Q10&gt;0,"U",IF(April!$T10="","",April!$T10)))</f>
        <v/>
      </c>
      <c r="J11" s="332">
        <f t="shared" ref="J11:J40" si="4">J10+1</f>
        <v>46144</v>
      </c>
      <c r="K11" s="328" t="str">
        <f>IF(Mai!$P10&gt;0,"K",IF(Mai!$Q10&gt;0,"U",IF(Mai!$T10="","",Mai!$T10)))</f>
        <v/>
      </c>
      <c r="L11" s="327">
        <f t="shared" ref="L11:L39" si="5">L10+1</f>
        <v>46175</v>
      </c>
      <c r="M11" s="328" t="str">
        <f>IF(Juni!$P10&gt;0,"K",IF(Juni!$Q10&gt;0,"U",IF(Juni!$T10="","",Juni!$T10)))</f>
        <v/>
      </c>
      <c r="N11" s="327">
        <f t="shared" ref="N11:N40" si="6">N10+1</f>
        <v>46205</v>
      </c>
      <c r="O11" s="328" t="str">
        <f>IF(Juli!$P10&gt;0,"K",IF(Juli!$Q10&gt;0,"U",IF(Juli!$T10="","",Juli!$T10)))</f>
        <v/>
      </c>
      <c r="P11" s="327">
        <f t="shared" ref="P11:P40" si="7">P10+1</f>
        <v>46236</v>
      </c>
      <c r="Q11" s="328" t="str">
        <f>IF(Aug!$P10&gt;0,"K",IF(Aug!$Q10&gt;0,"U",IF(Aug!$T10="","",Aug!$T10)))</f>
        <v/>
      </c>
      <c r="R11" s="327">
        <f t="shared" ref="R11:R39" si="8">R10+1</f>
        <v>46267</v>
      </c>
      <c r="S11" s="328" t="str">
        <f>IF(Sept!$P10&gt;0,"K",IF(Sept!$Q10&gt;0,"U",IF(Sept!$T10="","",Sept!$T10)))</f>
        <v/>
      </c>
      <c r="T11" s="327">
        <f t="shared" ref="T11:T40" si="9">T10+1</f>
        <v>46297</v>
      </c>
      <c r="U11" s="328" t="str">
        <f>IF(Okt!$P10&gt;0,"K",IF(Okt!$Q10&gt;0,"U",IF(Okt!$T10="","",Okt!$T10)))</f>
        <v/>
      </c>
      <c r="V11" s="327">
        <f t="shared" ref="V11:V39" si="10">V10+1</f>
        <v>46328</v>
      </c>
      <c r="W11" s="328" t="str">
        <f>IF(Nov!$P10&gt;0,"K",IF(Nov!$Q10&gt;0,"U",IF(Nov!$T10="","",Nov!$T10)))</f>
        <v/>
      </c>
      <c r="X11" s="327">
        <f t="shared" ref="X11:X40" si="11">X10+1</f>
        <v>46358</v>
      </c>
      <c r="Y11" s="333" t="str">
        <f>IF(Dez!$P10&gt;0,"K",IF(Dez!$Q10&gt;0,"U",IF(Dez!$T10="","",Dez!$T10)))</f>
        <v/>
      </c>
    </row>
    <row r="12" spans="1:26" ht="12.4" customHeight="1">
      <c r="A12" s="91">
        <f>Datenblatt!A46</f>
        <v>46115</v>
      </c>
      <c r="B12" s="327">
        <f t="shared" si="0"/>
        <v>46025</v>
      </c>
      <c r="C12" s="328" t="str">
        <f>IF(Jän!$P11&gt;0,"K",IF(Jän!$Q11&gt;0,"U",IF(Jän!$T11="","",Jän!$T11)))</f>
        <v/>
      </c>
      <c r="D12" s="327">
        <f t="shared" si="1"/>
        <v>46056</v>
      </c>
      <c r="E12" s="328" t="str">
        <f>IF(Feb!$P11&gt;0,"K",IF(Feb!$Q11&gt;0,"U",IF(Feb!$T11="","",Feb!$T11)))</f>
        <v/>
      </c>
      <c r="F12" s="327">
        <f t="shared" si="2"/>
        <v>46084</v>
      </c>
      <c r="G12" s="328" t="str">
        <f>IF(März!$P11&gt;0,"K",IF(März!$Q11&gt;0,"U",IF(März!$T11="","",März!$T11)))</f>
        <v/>
      </c>
      <c r="H12" s="327">
        <f t="shared" si="3"/>
        <v>46115</v>
      </c>
      <c r="I12" s="328" t="str">
        <f>IF(April!$P11&gt;0,"K",IF(April!$Q11&gt;0,"U",IF(April!$T11="","",April!$T11)))</f>
        <v/>
      </c>
      <c r="J12" s="327">
        <f t="shared" si="4"/>
        <v>46145</v>
      </c>
      <c r="K12" s="328" t="str">
        <f>IF(Mai!$P11&gt;0,"K",IF(Mai!$Q11&gt;0,"U",IF(Mai!$T11="","",Mai!$T11)))</f>
        <v/>
      </c>
      <c r="L12" s="327">
        <f t="shared" si="5"/>
        <v>46176</v>
      </c>
      <c r="M12" s="328" t="str">
        <f>IF(Juni!$P11&gt;0,"K",IF(Juni!$Q11&gt;0,"U",IF(Juni!$T11="","",Juni!$T11)))</f>
        <v/>
      </c>
      <c r="N12" s="327">
        <f t="shared" si="6"/>
        <v>46206</v>
      </c>
      <c r="O12" s="328" t="str">
        <f>IF(Juli!$P11&gt;0,"K",IF(Juli!$Q11&gt;0,"U",IF(Juli!$T11="","",Juli!$T11)))</f>
        <v/>
      </c>
      <c r="P12" s="327">
        <f t="shared" si="7"/>
        <v>46237</v>
      </c>
      <c r="Q12" s="328" t="str">
        <f>IF(Aug!$P11&gt;0,"K",IF(Aug!$Q11&gt;0,"U",IF(Aug!$T11="","",Aug!$T11)))</f>
        <v/>
      </c>
      <c r="R12" s="327">
        <f t="shared" si="8"/>
        <v>46268</v>
      </c>
      <c r="S12" s="328" t="str">
        <f>IF(Sept!$P11&gt;0,"K",IF(Sept!$Q11&gt;0,"U",IF(Sept!$T11="","",Sept!$T11)))</f>
        <v/>
      </c>
      <c r="T12" s="327">
        <f t="shared" si="9"/>
        <v>46298</v>
      </c>
      <c r="U12" s="328" t="str">
        <f>IF(Okt!$P11&gt;0,"K",IF(Okt!$Q11&gt;0,"U",IF(Okt!$T11="","",Okt!$T11)))</f>
        <v/>
      </c>
      <c r="V12" s="327">
        <f t="shared" si="10"/>
        <v>46329</v>
      </c>
      <c r="W12" s="328" t="str">
        <f>IF(Nov!$P11&gt;0,"K",IF(Nov!$Q11&gt;0,"U",IF(Nov!$T11="","",Nov!$T11)))</f>
        <v/>
      </c>
      <c r="X12" s="327">
        <f t="shared" si="11"/>
        <v>46359</v>
      </c>
      <c r="Y12" s="333" t="str">
        <f>IF(Dez!$P11&gt;0,"K",IF(Dez!$Q11&gt;0,"U",IF(Dez!$T11="","",Dez!$T11)))</f>
        <v/>
      </c>
    </row>
    <row r="13" spans="1:26" ht="12.4" customHeight="1">
      <c r="A13" s="91">
        <f>Datenblatt!A47</f>
        <v>0</v>
      </c>
      <c r="B13" s="327">
        <f t="shared" si="0"/>
        <v>46026</v>
      </c>
      <c r="C13" s="328" t="str">
        <f>IF(Jän!$P12&gt;0,"K",IF(Jän!$Q12&gt;0,"U",IF(Jän!$T12="","",Jän!$T12)))</f>
        <v/>
      </c>
      <c r="D13" s="327">
        <f t="shared" si="1"/>
        <v>46057</v>
      </c>
      <c r="E13" s="328" t="str">
        <f>IF(Feb!$P12&gt;0,"K",IF(Feb!$Q12&gt;0,"U",IF(Feb!$T12="","",Feb!$T12)))</f>
        <v/>
      </c>
      <c r="F13" s="327">
        <f t="shared" si="2"/>
        <v>46085</v>
      </c>
      <c r="G13" s="328" t="str">
        <f>IF(März!$P12&gt;0,"K",IF(März!$Q12&gt;0,"U",IF(März!$T12="","",März!$T12)))</f>
        <v/>
      </c>
      <c r="H13" s="327">
        <f t="shared" si="3"/>
        <v>46116</v>
      </c>
      <c r="I13" s="328" t="str">
        <f>IF(April!$P12&gt;0,"K",IF(April!$Q12&gt;0,"U",IF(April!$T12="","",April!$T12)))</f>
        <v/>
      </c>
      <c r="J13" s="327">
        <f t="shared" si="4"/>
        <v>46146</v>
      </c>
      <c r="K13" s="328" t="str">
        <f>IF(Mai!$P12&gt;0,"K",IF(Mai!$Q12&gt;0,"U",IF(Mai!$T12="","",Mai!$T12)))</f>
        <v/>
      </c>
      <c r="L13" s="327">
        <f t="shared" si="5"/>
        <v>46177</v>
      </c>
      <c r="M13" s="328" t="str">
        <f>IF(Juni!$P12&gt;0,"K",IF(Juni!$Q12&gt;0,"U",IF(Juni!$T12="","",Juni!$T12)))</f>
        <v/>
      </c>
      <c r="N13" s="327">
        <f t="shared" si="6"/>
        <v>46207</v>
      </c>
      <c r="O13" s="328" t="str">
        <f>IF(Juli!$P12&gt;0,"K",IF(Juli!$Q12&gt;0,"U",IF(Juli!$T12="","",Juli!$T12)))</f>
        <v/>
      </c>
      <c r="P13" s="327">
        <f t="shared" si="7"/>
        <v>46238</v>
      </c>
      <c r="Q13" s="328" t="str">
        <f>IF(Aug!$P12&gt;0,"K",IF(Aug!$Q12&gt;0,"U",IF(Aug!$T12="","",Aug!$T12)))</f>
        <v/>
      </c>
      <c r="R13" s="327">
        <f t="shared" si="8"/>
        <v>46269</v>
      </c>
      <c r="S13" s="328" t="str">
        <f>IF(Sept!$P12&gt;0,"K",IF(Sept!$Q12&gt;0,"U",IF(Sept!$T12="","",Sept!$T12)))</f>
        <v/>
      </c>
      <c r="T13" s="327">
        <f t="shared" si="9"/>
        <v>46299</v>
      </c>
      <c r="U13" s="328" t="str">
        <f>IF(Okt!$P12&gt;0,"K",IF(Okt!$Q12&gt;0,"U",IF(Okt!$T12="","",Okt!$T12)))</f>
        <v/>
      </c>
      <c r="V13" s="327">
        <f t="shared" si="10"/>
        <v>46330</v>
      </c>
      <c r="W13" s="328" t="str">
        <f>IF(Nov!$P12&gt;0,"K",IF(Nov!$Q12&gt;0,"U",IF(Nov!$T12="","",Nov!$T12)))</f>
        <v/>
      </c>
      <c r="X13" s="327">
        <f t="shared" si="11"/>
        <v>46360</v>
      </c>
      <c r="Y13" s="333" t="str">
        <f>IF(Dez!$P12&gt;0,"K",IF(Dez!$Q12&gt;0,"U",IF(Dez!$T12="","",Dez!$T12)))</f>
        <v/>
      </c>
    </row>
    <row r="14" spans="1:26" ht="12.4" customHeight="1">
      <c r="A14" s="91">
        <f>Datenblatt!A48</f>
        <v>46117</v>
      </c>
      <c r="B14" s="327">
        <f t="shared" si="0"/>
        <v>46027</v>
      </c>
      <c r="C14" s="328" t="str">
        <f>IF(Jän!$P13&gt;0,"K",IF(Jän!$Q13&gt;0,"U",IF(Jän!$T13="","",Jän!$T13)))</f>
        <v/>
      </c>
      <c r="D14" s="327">
        <f t="shared" si="1"/>
        <v>46058</v>
      </c>
      <c r="E14" s="328" t="str">
        <f>IF(Feb!$P13&gt;0,"K",IF(Feb!$Q13&gt;0,"U",IF(Feb!$T13="","",Feb!$T13)))</f>
        <v/>
      </c>
      <c r="F14" s="327">
        <f t="shared" si="2"/>
        <v>46086</v>
      </c>
      <c r="G14" s="328" t="str">
        <f>IF(März!$P13&gt;0,"K",IF(März!$Q13&gt;0,"U",IF(März!$T13="","",März!$T13)))</f>
        <v/>
      </c>
      <c r="H14" s="327">
        <f t="shared" si="3"/>
        <v>46117</v>
      </c>
      <c r="I14" s="328" t="str">
        <f>IF(April!$P13&gt;0,"K",IF(April!$Q13&gt;0,"U",IF(April!$T13="","",April!$T13)))</f>
        <v/>
      </c>
      <c r="J14" s="327">
        <f t="shared" si="4"/>
        <v>46147</v>
      </c>
      <c r="K14" s="328" t="str">
        <f>IF(Mai!$P13&gt;0,"K",IF(Mai!$Q13&gt;0,"U",IF(Mai!$T13="","",Mai!$T13)))</f>
        <v/>
      </c>
      <c r="L14" s="327">
        <f t="shared" si="5"/>
        <v>46178</v>
      </c>
      <c r="M14" s="328" t="str">
        <f>IF(Juni!$P13&gt;0,"K",IF(Juni!$Q13&gt;0,"U",IF(Juni!$T13="","",Juni!$T13)))</f>
        <v/>
      </c>
      <c r="N14" s="327">
        <f t="shared" si="6"/>
        <v>46208</v>
      </c>
      <c r="O14" s="328" t="str">
        <f>IF(Juli!$P13&gt;0,"K",IF(Juli!$Q13&gt;0,"U",IF(Juli!$T13="","",Juli!$T13)))</f>
        <v/>
      </c>
      <c r="P14" s="327">
        <f t="shared" si="7"/>
        <v>46239</v>
      </c>
      <c r="Q14" s="328" t="str">
        <f>IF(Aug!$P13&gt;0,"K",IF(Aug!$Q13&gt;0,"U",IF(Aug!$T13="","",Aug!$T13)))</f>
        <v/>
      </c>
      <c r="R14" s="327">
        <f t="shared" si="8"/>
        <v>46270</v>
      </c>
      <c r="S14" s="328" t="str">
        <f>IF(Sept!$P13&gt;0,"K",IF(Sept!$Q13&gt;0,"U",IF(Sept!$T13="","",Sept!$T13)))</f>
        <v/>
      </c>
      <c r="T14" s="327">
        <f t="shared" si="9"/>
        <v>46300</v>
      </c>
      <c r="U14" s="328" t="str">
        <f>IF(Okt!$P13&gt;0,"K",IF(Okt!$Q13&gt;0,"U",IF(Okt!$T13="","",Okt!$T13)))</f>
        <v/>
      </c>
      <c r="V14" s="327">
        <f t="shared" si="10"/>
        <v>46331</v>
      </c>
      <c r="W14" s="328" t="str">
        <f>IF(Nov!$P13&gt;0,"K",IF(Nov!$Q13&gt;0,"U",IF(Nov!$T13="","",Nov!$T13)))</f>
        <v/>
      </c>
      <c r="X14" s="327">
        <f t="shared" si="11"/>
        <v>46361</v>
      </c>
      <c r="Y14" s="333" t="str">
        <f>IF(Dez!$P13&gt;0,"K",IF(Dez!$Q13&gt;0,"U",IF(Dez!$T13="","",Dez!$T13)))</f>
        <v/>
      </c>
    </row>
    <row r="15" spans="1:26" ht="12.4" customHeight="1">
      <c r="A15" s="91">
        <f>Datenblatt!A49</f>
        <v>46118</v>
      </c>
      <c r="B15" s="327">
        <f t="shared" si="0"/>
        <v>46028</v>
      </c>
      <c r="C15" s="328" t="str">
        <f>IF(Jän!$P14&gt;0,"K",IF(Jän!$Q14&gt;0,"U",IF(Jän!$T14="","",Jän!$T14)))</f>
        <v/>
      </c>
      <c r="D15" s="327">
        <f t="shared" si="1"/>
        <v>46059</v>
      </c>
      <c r="E15" s="328" t="str">
        <f>IF(Feb!$P14&gt;0,"K",IF(Feb!$Q14&gt;0,"U",IF(Feb!$T14="","",Feb!$T14)))</f>
        <v/>
      </c>
      <c r="F15" s="327">
        <f t="shared" si="2"/>
        <v>46087</v>
      </c>
      <c r="G15" s="328" t="str">
        <f>IF(März!$P14&gt;0,"K",IF(März!$Q14&gt;0,"U",IF(März!$T14="","",März!$T14)))</f>
        <v/>
      </c>
      <c r="H15" s="327">
        <f t="shared" si="3"/>
        <v>46118</v>
      </c>
      <c r="I15" s="328" t="str">
        <f>IF(April!$P14&gt;0,"K",IF(April!$Q14&gt;0,"U",IF(April!$T14="","",April!$T14)))</f>
        <v/>
      </c>
      <c r="J15" s="327">
        <f t="shared" si="4"/>
        <v>46148</v>
      </c>
      <c r="K15" s="328" t="str">
        <f>IF(Mai!$P14&gt;0,"K",IF(Mai!$Q14&gt;0,"U",IF(Mai!$T14="","",Mai!$T14)))</f>
        <v/>
      </c>
      <c r="L15" s="327">
        <f t="shared" si="5"/>
        <v>46179</v>
      </c>
      <c r="M15" s="328" t="str">
        <f>IF(Juni!$P14&gt;0,"K",IF(Juni!$Q14&gt;0,"U",IF(Juni!$T14="","",Juni!$T14)))</f>
        <v/>
      </c>
      <c r="N15" s="327">
        <f t="shared" si="6"/>
        <v>46209</v>
      </c>
      <c r="O15" s="328" t="str">
        <f>IF(Juli!$P14&gt;0,"K",IF(Juli!$Q14&gt;0,"U",IF(Juli!$T14="","",Juli!$T14)))</f>
        <v/>
      </c>
      <c r="P15" s="327">
        <f t="shared" si="7"/>
        <v>46240</v>
      </c>
      <c r="Q15" s="328" t="str">
        <f>IF(Aug!$P14&gt;0,"K",IF(Aug!$Q14&gt;0,"U",IF(Aug!$T14="","",Aug!$T14)))</f>
        <v/>
      </c>
      <c r="R15" s="327">
        <f t="shared" si="8"/>
        <v>46271</v>
      </c>
      <c r="S15" s="328" t="str">
        <f>IF(Sept!$P14&gt;0,"K",IF(Sept!$Q14&gt;0,"U",IF(Sept!$T14="","",Sept!$T14)))</f>
        <v/>
      </c>
      <c r="T15" s="327">
        <f t="shared" si="9"/>
        <v>46301</v>
      </c>
      <c r="U15" s="328" t="str">
        <f>IF(Okt!$P14&gt;0,"K",IF(Okt!$Q14&gt;0,"U",IF(Okt!$T14="","",Okt!$T14)))</f>
        <v/>
      </c>
      <c r="V15" s="327">
        <f t="shared" si="10"/>
        <v>46332</v>
      </c>
      <c r="W15" s="328" t="str">
        <f>IF(Nov!$P14&gt;0,"K",IF(Nov!$Q14&gt;0,"U",IF(Nov!$T14="","",Nov!$T14)))</f>
        <v/>
      </c>
      <c r="X15" s="327">
        <f t="shared" si="11"/>
        <v>46362</v>
      </c>
      <c r="Y15" s="333" t="str">
        <f>IF(Dez!$P14&gt;0,"K",IF(Dez!$Q14&gt;0,"U",IF(Dez!$T14="","",Dez!$T14)))</f>
        <v/>
      </c>
    </row>
    <row r="16" spans="1:26" ht="12.4" customHeight="1">
      <c r="A16" s="91">
        <f>Datenblatt!A51</f>
        <v>46143</v>
      </c>
      <c r="B16" s="327">
        <f t="shared" si="0"/>
        <v>46029</v>
      </c>
      <c r="C16" s="328" t="str">
        <f>IF(Jän!$P15&gt;0,"K",IF(Jän!$Q15&gt;0,"U",IF(Jän!$T15="","",Jän!$T15)))</f>
        <v/>
      </c>
      <c r="D16" s="327">
        <f t="shared" si="1"/>
        <v>46060</v>
      </c>
      <c r="E16" s="328" t="str">
        <f>IF(Feb!$P15&gt;0,"K",IF(Feb!$Q15&gt;0,"U",IF(Feb!$T15="","",Feb!$T15)))</f>
        <v/>
      </c>
      <c r="F16" s="327">
        <f t="shared" si="2"/>
        <v>46088</v>
      </c>
      <c r="G16" s="328" t="str">
        <f>IF(März!$P15&gt;0,"K",IF(März!$Q15&gt;0,"U",IF(März!$T15="","",März!$T15)))</f>
        <v/>
      </c>
      <c r="H16" s="327">
        <f t="shared" si="3"/>
        <v>46119</v>
      </c>
      <c r="I16" s="328" t="str">
        <f>IF(April!$P15&gt;0,"K",IF(April!$Q15&gt;0,"U",IF(April!$T15="","",April!$T15)))</f>
        <v/>
      </c>
      <c r="J16" s="327">
        <f t="shared" si="4"/>
        <v>46149</v>
      </c>
      <c r="K16" s="328" t="str">
        <f>IF(Mai!$P15&gt;0,"K",IF(Mai!$Q15&gt;0,"U",IF(Mai!$T15="","",Mai!$T15)))</f>
        <v/>
      </c>
      <c r="L16" s="327">
        <f t="shared" si="5"/>
        <v>46180</v>
      </c>
      <c r="M16" s="328" t="str">
        <f>IF(Juni!$P15&gt;0,"K",IF(Juni!$Q15&gt;0,"U",IF(Juni!$T15="","",Juni!$T15)))</f>
        <v/>
      </c>
      <c r="N16" s="327">
        <f t="shared" si="6"/>
        <v>46210</v>
      </c>
      <c r="O16" s="328" t="str">
        <f>IF(Juli!$P15&gt;0,"K",IF(Juli!$Q15&gt;0,"U",IF(Juli!$T15="","",Juli!$T15)))</f>
        <v/>
      </c>
      <c r="P16" s="327">
        <f t="shared" si="7"/>
        <v>46241</v>
      </c>
      <c r="Q16" s="328" t="str">
        <f>IF(Aug!$P15&gt;0,"K",IF(Aug!$Q15&gt;0,"U",IF(Aug!$T15="","",Aug!$T15)))</f>
        <v/>
      </c>
      <c r="R16" s="327">
        <f t="shared" si="8"/>
        <v>46272</v>
      </c>
      <c r="S16" s="328" t="str">
        <f>IF(Sept!$P15&gt;0,"K",IF(Sept!$Q15&gt;0,"U",IF(Sept!$T15="","",Sept!$T15)))</f>
        <v/>
      </c>
      <c r="T16" s="327">
        <f t="shared" si="9"/>
        <v>46302</v>
      </c>
      <c r="U16" s="328" t="str">
        <f>IF(Okt!$P15&gt;0,"K",IF(Okt!$Q15&gt;0,"U",IF(Okt!$T15="","",Okt!$T15)))</f>
        <v/>
      </c>
      <c r="V16" s="327">
        <f t="shared" si="10"/>
        <v>46333</v>
      </c>
      <c r="W16" s="328" t="str">
        <f>IF(Nov!$P15&gt;0,"K",IF(Nov!$Q15&gt;0,"U",IF(Nov!$T15="","",Nov!$T15)))</f>
        <v/>
      </c>
      <c r="X16" s="327">
        <f t="shared" si="11"/>
        <v>46363</v>
      </c>
      <c r="Y16" s="333" t="str">
        <f>IF(Dez!$P15&gt;0,"K",IF(Dez!$Q15&gt;0,"U",IF(Dez!$T15="","",Dez!$T15)))</f>
        <v/>
      </c>
    </row>
    <row r="17" spans="1:25" ht="12.4" customHeight="1">
      <c r="A17" s="91">
        <f>Datenblatt!A52</f>
        <v>46156</v>
      </c>
      <c r="B17" s="327">
        <f t="shared" si="0"/>
        <v>46030</v>
      </c>
      <c r="C17" s="328" t="str">
        <f>IF(Jän!$P16&gt;0,"K",IF(Jän!$Q16&gt;0,"U",IF(Jän!$T16="","",Jän!$T16)))</f>
        <v/>
      </c>
      <c r="D17" s="327">
        <f t="shared" si="1"/>
        <v>46061</v>
      </c>
      <c r="E17" s="328" t="str">
        <f>IF(Feb!$P16&gt;0,"K",IF(Feb!$Q16&gt;0,"U",IF(Feb!$T16="","",Feb!$T16)))</f>
        <v/>
      </c>
      <c r="F17" s="327">
        <f t="shared" si="2"/>
        <v>46089</v>
      </c>
      <c r="G17" s="328" t="str">
        <f>IF(März!$P16&gt;0,"K",IF(März!$Q16&gt;0,"U",IF(März!$T16="","",März!$T16)))</f>
        <v/>
      </c>
      <c r="H17" s="327">
        <f t="shared" si="3"/>
        <v>46120</v>
      </c>
      <c r="I17" s="328" t="str">
        <f>IF(April!$P16&gt;0,"K",IF(April!$Q16&gt;0,"U",IF(April!$T16="","",April!$T16)))</f>
        <v/>
      </c>
      <c r="J17" s="327">
        <f t="shared" si="4"/>
        <v>46150</v>
      </c>
      <c r="K17" s="328" t="str">
        <f>IF(Mai!$P16&gt;0,"K",IF(Mai!$Q16&gt;0,"U",IF(Mai!$T16="","",Mai!$T16)))</f>
        <v/>
      </c>
      <c r="L17" s="327">
        <f t="shared" si="5"/>
        <v>46181</v>
      </c>
      <c r="M17" s="328" t="str">
        <f>IF(Juni!$P16&gt;0,"K",IF(Juni!$Q16&gt;0,"U",IF(Juni!$T16="","",Juni!$T16)))</f>
        <v/>
      </c>
      <c r="N17" s="327">
        <f t="shared" si="6"/>
        <v>46211</v>
      </c>
      <c r="O17" s="328" t="str">
        <f>IF(Juli!$P16&gt;0,"K",IF(Juli!$Q16&gt;0,"U",IF(Juli!$T16="","",Juli!$T16)))</f>
        <v/>
      </c>
      <c r="P17" s="327">
        <f t="shared" si="7"/>
        <v>46242</v>
      </c>
      <c r="Q17" s="328" t="str">
        <f>IF(Aug!$P16&gt;0,"K",IF(Aug!$Q16&gt;0,"U",IF(Aug!$T16="","",Aug!$T16)))</f>
        <v/>
      </c>
      <c r="R17" s="327">
        <f t="shared" si="8"/>
        <v>46273</v>
      </c>
      <c r="S17" s="328" t="str">
        <f>IF(Sept!$P16&gt;0,"K",IF(Sept!$Q16&gt;0,"U",IF(Sept!$T16="","",Sept!$T16)))</f>
        <v/>
      </c>
      <c r="T17" s="327">
        <f t="shared" si="9"/>
        <v>46303</v>
      </c>
      <c r="U17" s="328" t="str">
        <f>IF(Okt!$P16&gt;0,"K",IF(Okt!$Q16&gt;0,"U",IF(Okt!$T16="","",Okt!$T16)))</f>
        <v/>
      </c>
      <c r="V17" s="327">
        <f t="shared" si="10"/>
        <v>46334</v>
      </c>
      <c r="W17" s="328" t="str">
        <f>IF(Nov!$P16&gt;0,"K",IF(Nov!$Q16&gt;0,"U",IF(Nov!$T16="","",Nov!$T16)))</f>
        <v/>
      </c>
      <c r="X17" s="327">
        <f t="shared" si="11"/>
        <v>46364</v>
      </c>
      <c r="Y17" s="333" t="str">
        <f>IF(Dez!$P16&gt;0,"K",IF(Dez!$Q16&gt;0,"U",IF(Dez!$T16="","",Dez!$T16)))</f>
        <v/>
      </c>
    </row>
    <row r="18" spans="1:25" ht="12.4" customHeight="1">
      <c r="A18" s="91">
        <f>Datenblatt!A53</f>
        <v>46166</v>
      </c>
      <c r="B18" s="327">
        <f t="shared" si="0"/>
        <v>46031</v>
      </c>
      <c r="C18" s="328" t="str">
        <f>IF(Jän!$P17&gt;0,"K",IF(Jän!$Q17&gt;0,"U",IF(Jän!$T17="","",Jän!$T17)))</f>
        <v/>
      </c>
      <c r="D18" s="327">
        <f t="shared" si="1"/>
        <v>46062</v>
      </c>
      <c r="E18" s="328" t="str">
        <f>IF(Feb!$P17&gt;0,"K",IF(Feb!$Q17&gt;0,"U",IF(Feb!$T17="","",Feb!$T17)))</f>
        <v/>
      </c>
      <c r="F18" s="327">
        <f t="shared" si="2"/>
        <v>46090</v>
      </c>
      <c r="G18" s="328" t="str">
        <f>IF(März!$P17&gt;0,"K",IF(März!$Q17&gt;0,"U",IF(März!$T17="","",März!$T17)))</f>
        <v/>
      </c>
      <c r="H18" s="327">
        <f t="shared" si="3"/>
        <v>46121</v>
      </c>
      <c r="I18" s="328" t="str">
        <f>IF(April!$P17&gt;0,"K",IF(April!$Q17&gt;0,"U",IF(April!$T17="","",April!$T17)))</f>
        <v/>
      </c>
      <c r="J18" s="327">
        <f t="shared" si="4"/>
        <v>46151</v>
      </c>
      <c r="K18" s="328" t="str">
        <f>IF(Mai!$P17&gt;0,"K",IF(Mai!$Q17&gt;0,"U",IF(Mai!$T17="","",Mai!$T17)))</f>
        <v/>
      </c>
      <c r="L18" s="327">
        <f t="shared" si="5"/>
        <v>46182</v>
      </c>
      <c r="M18" s="328" t="str">
        <f>IF(Juni!$P17&gt;0,"K",IF(Juni!$Q17&gt;0,"U",IF(Juni!$T17="","",Juni!$T17)))</f>
        <v/>
      </c>
      <c r="N18" s="327">
        <f t="shared" si="6"/>
        <v>46212</v>
      </c>
      <c r="O18" s="328" t="str">
        <f>IF(Juli!$P17&gt;0,"K",IF(Juli!$Q17&gt;0,"U",IF(Juli!$T17="","",Juli!$T17)))</f>
        <v/>
      </c>
      <c r="P18" s="327">
        <f t="shared" si="7"/>
        <v>46243</v>
      </c>
      <c r="Q18" s="328" t="str">
        <f>IF(Aug!$P17&gt;0,"K",IF(Aug!$Q17&gt;0,"U",IF(Aug!$T17="","",Aug!$T17)))</f>
        <v/>
      </c>
      <c r="R18" s="327">
        <f t="shared" si="8"/>
        <v>46274</v>
      </c>
      <c r="S18" s="328" t="str">
        <f>IF(Sept!$P17&gt;0,"K",IF(Sept!$Q17&gt;0,"U",IF(Sept!$T17="","",Sept!$T17)))</f>
        <v/>
      </c>
      <c r="T18" s="327">
        <f t="shared" si="9"/>
        <v>46304</v>
      </c>
      <c r="U18" s="328" t="str">
        <f>IF(Okt!$P17&gt;0,"K",IF(Okt!$Q17&gt;0,"U",IF(Okt!$T17="","",Okt!$T17)))</f>
        <v/>
      </c>
      <c r="V18" s="327">
        <f t="shared" si="10"/>
        <v>46335</v>
      </c>
      <c r="W18" s="328" t="str">
        <f>IF(Nov!$P17&gt;0,"K",IF(Nov!$Q17&gt;0,"U",IF(Nov!$T17="","",Nov!$T17)))</f>
        <v/>
      </c>
      <c r="X18" s="327">
        <f t="shared" si="11"/>
        <v>46365</v>
      </c>
      <c r="Y18" s="333" t="str">
        <f>IF(Dez!$P17&gt;0,"K",IF(Dez!$Q17&gt;0,"U",IF(Dez!$T17="","",Dez!$T17)))</f>
        <v/>
      </c>
    </row>
    <row r="19" spans="1:25" ht="12.4" customHeight="1">
      <c r="A19" s="91">
        <f>Datenblatt!A54</f>
        <v>46167</v>
      </c>
      <c r="B19" s="327">
        <f t="shared" si="0"/>
        <v>46032</v>
      </c>
      <c r="C19" s="328" t="str">
        <f>IF(Jän!$P18&gt;0,"K",IF(Jän!$Q18&gt;0,"U",IF(Jän!$T18="","",Jän!$T18)))</f>
        <v/>
      </c>
      <c r="D19" s="327">
        <f t="shared" si="1"/>
        <v>46063</v>
      </c>
      <c r="E19" s="328" t="str">
        <f>IF(Feb!$P18&gt;0,"K",IF(Feb!$Q18&gt;0,"U",IF(Feb!$T18="","",Feb!$T18)))</f>
        <v/>
      </c>
      <c r="F19" s="327">
        <f t="shared" si="2"/>
        <v>46091</v>
      </c>
      <c r="G19" s="328" t="str">
        <f>IF(März!$P18&gt;0,"K",IF(März!$Q18&gt;0,"U",IF(März!$T18="","",März!$T18)))</f>
        <v/>
      </c>
      <c r="H19" s="327">
        <f t="shared" si="3"/>
        <v>46122</v>
      </c>
      <c r="I19" s="328" t="str">
        <f>IF(April!$P18&gt;0,"K",IF(April!$Q18&gt;0,"U",IF(April!$T18="","",April!$T18)))</f>
        <v/>
      </c>
      <c r="J19" s="327">
        <f t="shared" si="4"/>
        <v>46152</v>
      </c>
      <c r="K19" s="328" t="str">
        <f>IF(Mai!$P18&gt;0,"K",IF(Mai!$Q18&gt;0,"U",IF(Mai!$T18="","",Mai!$T18)))</f>
        <v/>
      </c>
      <c r="L19" s="327">
        <f t="shared" si="5"/>
        <v>46183</v>
      </c>
      <c r="M19" s="328" t="str">
        <f>IF(Juni!$P18&gt;0,"K",IF(Juni!$Q18&gt;0,"U",IF(Juni!$T18="","",Juni!$T18)))</f>
        <v/>
      </c>
      <c r="N19" s="327">
        <f t="shared" si="6"/>
        <v>46213</v>
      </c>
      <c r="O19" s="328" t="str">
        <f>IF(Juli!$P18&gt;0,"K",IF(Juli!$Q18&gt;0,"U",IF(Juli!$T18="","",Juli!$T18)))</f>
        <v/>
      </c>
      <c r="P19" s="327">
        <f t="shared" si="7"/>
        <v>46244</v>
      </c>
      <c r="Q19" s="328" t="str">
        <f>IF(Aug!$P18&gt;0,"K",IF(Aug!$Q18&gt;0,"U",IF(Aug!$T18="","",Aug!$T18)))</f>
        <v/>
      </c>
      <c r="R19" s="327">
        <f t="shared" si="8"/>
        <v>46275</v>
      </c>
      <c r="S19" s="328" t="str">
        <f>IF(Sept!$P18&gt;0,"K",IF(Sept!$Q18&gt;0,"U",IF(Sept!$T18="","",Sept!$T18)))</f>
        <v/>
      </c>
      <c r="T19" s="327">
        <f t="shared" si="9"/>
        <v>46305</v>
      </c>
      <c r="U19" s="328" t="str">
        <f>IF(Okt!$P18&gt;0,"K",IF(Okt!$Q18&gt;0,"U",IF(Okt!$T18="","",Okt!$T18)))</f>
        <v/>
      </c>
      <c r="V19" s="327">
        <f t="shared" si="10"/>
        <v>46336</v>
      </c>
      <c r="W19" s="328" t="str">
        <f>IF(Nov!$P18&gt;0,"K",IF(Nov!$Q18&gt;0,"U",IF(Nov!$T18="","",Nov!$T18)))</f>
        <v/>
      </c>
      <c r="X19" s="327">
        <f t="shared" si="11"/>
        <v>46366</v>
      </c>
      <c r="Y19" s="333" t="str">
        <f>IF(Dez!$P18&gt;0,"K",IF(Dez!$Q18&gt;0,"U",IF(Dez!$T18="","",Dez!$T18)))</f>
        <v/>
      </c>
    </row>
    <row r="20" spans="1:25" ht="12.4" customHeight="1">
      <c r="A20" s="91">
        <f>Datenblatt!A56</f>
        <v>46177</v>
      </c>
      <c r="B20" s="327">
        <f t="shared" si="0"/>
        <v>46033</v>
      </c>
      <c r="C20" s="328" t="str">
        <f>IF(Jän!$P19&gt;0,"K",IF(Jän!$Q19&gt;0,"U",IF(Jän!$T19="","",Jän!$T19)))</f>
        <v/>
      </c>
      <c r="D20" s="327">
        <f t="shared" si="1"/>
        <v>46064</v>
      </c>
      <c r="E20" s="328" t="str">
        <f>IF(Feb!$P19&gt;0,"K",IF(Feb!$Q19&gt;0,"U",IF(Feb!$T19="","",Feb!$T19)))</f>
        <v/>
      </c>
      <c r="F20" s="327">
        <f t="shared" si="2"/>
        <v>46092</v>
      </c>
      <c r="G20" s="328" t="str">
        <f>IF(März!$P19&gt;0,"K",IF(März!$Q19&gt;0,"U",IF(März!$T19="","",März!$T19)))</f>
        <v/>
      </c>
      <c r="H20" s="327">
        <f t="shared" si="3"/>
        <v>46123</v>
      </c>
      <c r="I20" s="328" t="str">
        <f>IF(April!$P19&gt;0,"K",IF(April!$Q19&gt;0,"U",IF(April!$T19="","",April!$T19)))</f>
        <v/>
      </c>
      <c r="J20" s="327">
        <f t="shared" si="4"/>
        <v>46153</v>
      </c>
      <c r="K20" s="328" t="str">
        <f>IF(Mai!$P19&gt;0,"K",IF(Mai!$Q19&gt;0,"U",IF(Mai!$T19="","",Mai!$T19)))</f>
        <v/>
      </c>
      <c r="L20" s="327">
        <f t="shared" si="5"/>
        <v>46184</v>
      </c>
      <c r="M20" s="328" t="str">
        <f>IF(Juni!$P19&gt;0,"K",IF(Juni!$Q19&gt;0,"U",IF(Juni!$T19="","",Juni!$T19)))</f>
        <v/>
      </c>
      <c r="N20" s="327">
        <f t="shared" si="6"/>
        <v>46214</v>
      </c>
      <c r="O20" s="328" t="str">
        <f>IF(Juli!$P19&gt;0,"K",IF(Juli!$Q19&gt;0,"U",IF(Juli!$T19="","",Juli!$T19)))</f>
        <v/>
      </c>
      <c r="P20" s="327">
        <f t="shared" si="7"/>
        <v>46245</v>
      </c>
      <c r="Q20" s="328" t="str">
        <f>IF(Aug!$P19&gt;0,"K",IF(Aug!$Q19&gt;0,"U",IF(Aug!$T19="","",Aug!$T19)))</f>
        <v/>
      </c>
      <c r="R20" s="327">
        <f t="shared" si="8"/>
        <v>46276</v>
      </c>
      <c r="S20" s="328" t="str">
        <f>IF(Sept!$P19&gt;0,"K",IF(Sept!$Q19&gt;0,"U",IF(Sept!$T19="","",Sept!$T19)))</f>
        <v/>
      </c>
      <c r="T20" s="327">
        <f t="shared" si="9"/>
        <v>46306</v>
      </c>
      <c r="U20" s="328" t="str">
        <f>IF(Okt!$P19&gt;0,"K",IF(Okt!$Q19&gt;0,"U",IF(Okt!$T19="","",Okt!$T19)))</f>
        <v/>
      </c>
      <c r="V20" s="327">
        <f t="shared" si="10"/>
        <v>46337</v>
      </c>
      <c r="W20" s="328" t="str">
        <f>IF(Nov!$P19&gt;0,"K",IF(Nov!$Q19&gt;0,"U",IF(Nov!$T19="","",Nov!$T19)))</f>
        <v/>
      </c>
      <c r="X20" s="327">
        <f t="shared" si="11"/>
        <v>46367</v>
      </c>
      <c r="Y20" s="333" t="str">
        <f>IF(Dez!$P19&gt;0,"K",IF(Dez!$Q19&gt;0,"U",IF(Dez!$T19="","",Dez!$T19)))</f>
        <v/>
      </c>
    </row>
    <row r="21" spans="1:25" ht="12.4" customHeight="1">
      <c r="A21" s="91">
        <f>Datenblatt!A57</f>
        <v>46249</v>
      </c>
      <c r="B21" s="327">
        <f t="shared" si="0"/>
        <v>46034</v>
      </c>
      <c r="C21" s="328" t="str">
        <f>IF(Jän!$P20&gt;0,"K",IF(Jän!$Q20&gt;0,"U",IF(Jän!$T20="","",Jän!$T20)))</f>
        <v/>
      </c>
      <c r="D21" s="327">
        <f t="shared" si="1"/>
        <v>46065</v>
      </c>
      <c r="E21" s="328" t="str">
        <f>IF(Feb!$P20&gt;0,"K",IF(Feb!$Q20&gt;0,"U",IF(Feb!$T20="","",Feb!$T20)))</f>
        <v/>
      </c>
      <c r="F21" s="327">
        <f t="shared" si="2"/>
        <v>46093</v>
      </c>
      <c r="G21" s="328" t="str">
        <f>IF(März!$P20&gt;0,"K",IF(März!$Q20&gt;0,"U",IF(März!$T20="","",März!$T20)))</f>
        <v/>
      </c>
      <c r="H21" s="327">
        <f t="shared" si="3"/>
        <v>46124</v>
      </c>
      <c r="I21" s="328" t="str">
        <f>IF(April!$P20&gt;0,"K",IF(April!$Q20&gt;0,"U",IF(April!$T20="","",April!$T20)))</f>
        <v/>
      </c>
      <c r="J21" s="327">
        <f t="shared" si="4"/>
        <v>46154</v>
      </c>
      <c r="K21" s="328" t="str">
        <f>IF(Mai!$P20&gt;0,"K",IF(Mai!$Q20&gt;0,"U",IF(Mai!$T20="","",Mai!$T20)))</f>
        <v/>
      </c>
      <c r="L21" s="327">
        <f t="shared" si="5"/>
        <v>46185</v>
      </c>
      <c r="M21" s="328" t="str">
        <f>IF(Juni!$P20&gt;0,"K",IF(Juni!$Q20&gt;0,"U",IF(Juni!$T20="","",Juni!$T20)))</f>
        <v/>
      </c>
      <c r="N21" s="327">
        <f t="shared" si="6"/>
        <v>46215</v>
      </c>
      <c r="O21" s="328" t="str">
        <f>IF(Juli!$P20&gt;0,"K",IF(Juli!$Q20&gt;0,"U",IF(Juli!$T20="","",Juli!$T20)))</f>
        <v/>
      </c>
      <c r="P21" s="327">
        <f t="shared" si="7"/>
        <v>46246</v>
      </c>
      <c r="Q21" s="328" t="str">
        <f>IF(Aug!$P20&gt;0,"K",IF(Aug!$Q20&gt;0,"U",IF(Aug!$T20="","",Aug!$T20)))</f>
        <v/>
      </c>
      <c r="R21" s="327">
        <f t="shared" si="8"/>
        <v>46277</v>
      </c>
      <c r="S21" s="328" t="str">
        <f>IF(Sept!$P20&gt;0,"K",IF(Sept!$Q20&gt;0,"U",IF(Sept!$T20="","",Sept!$T20)))</f>
        <v/>
      </c>
      <c r="T21" s="327">
        <f t="shared" si="9"/>
        <v>46307</v>
      </c>
      <c r="U21" s="328" t="str">
        <f>IF(Okt!$P20&gt;0,"K",IF(Okt!$Q20&gt;0,"U",IF(Okt!$T20="","",Okt!$T20)))</f>
        <v/>
      </c>
      <c r="V21" s="327">
        <f t="shared" si="10"/>
        <v>46338</v>
      </c>
      <c r="W21" s="328" t="str">
        <f>IF(Nov!$P20&gt;0,"K",IF(Nov!$Q20&gt;0,"U",IF(Nov!$T20="","",Nov!$T20)))</f>
        <v/>
      </c>
      <c r="X21" s="327">
        <f t="shared" si="11"/>
        <v>46368</v>
      </c>
      <c r="Y21" s="333" t="str">
        <f>IF(Dez!$P20&gt;0,"K",IF(Dez!$Q20&gt;0,"U",IF(Dez!$T20="","",Dez!$T20)))</f>
        <v/>
      </c>
    </row>
    <row r="22" spans="1:25" ht="12.4" customHeight="1">
      <c r="A22" s="91">
        <f>Datenblatt!A58</f>
        <v>46321</v>
      </c>
      <c r="B22" s="327">
        <f t="shared" si="0"/>
        <v>46035</v>
      </c>
      <c r="C22" s="328" t="str">
        <f>IF(Jän!$P21&gt;0,"K",IF(Jän!$Q21&gt;0,"U",IF(Jän!$T21="","",Jän!$T21)))</f>
        <v/>
      </c>
      <c r="D22" s="327">
        <f t="shared" si="1"/>
        <v>46066</v>
      </c>
      <c r="E22" s="328" t="str">
        <f>IF(Feb!$P21&gt;0,"K",IF(Feb!$Q21&gt;0,"U",IF(Feb!$T21="","",Feb!$T21)))</f>
        <v/>
      </c>
      <c r="F22" s="327">
        <f t="shared" si="2"/>
        <v>46094</v>
      </c>
      <c r="G22" s="328" t="str">
        <f>IF(März!$P21&gt;0,"K",IF(März!$Q21&gt;0,"U",IF(März!$T21="","",März!$T21)))</f>
        <v/>
      </c>
      <c r="H22" s="327">
        <f t="shared" si="3"/>
        <v>46125</v>
      </c>
      <c r="I22" s="328" t="str">
        <f>IF(April!$P21&gt;0,"K",IF(April!$Q21&gt;0,"U",IF(April!$T21="","",April!$T21)))</f>
        <v/>
      </c>
      <c r="J22" s="327">
        <f t="shared" si="4"/>
        <v>46155</v>
      </c>
      <c r="K22" s="328" t="str">
        <f>IF(Mai!$P21&gt;0,"K",IF(Mai!$Q21&gt;0,"U",IF(Mai!$T21="","",Mai!$T21)))</f>
        <v/>
      </c>
      <c r="L22" s="327">
        <f t="shared" si="5"/>
        <v>46186</v>
      </c>
      <c r="M22" s="328" t="str">
        <f>IF(Juni!$P21&gt;0,"K",IF(Juni!$Q21&gt;0,"U",IF(Juni!$T21="","",Juni!$T21)))</f>
        <v/>
      </c>
      <c r="N22" s="327">
        <f t="shared" si="6"/>
        <v>46216</v>
      </c>
      <c r="O22" s="328" t="str">
        <f>IF(Juli!$P21&gt;0,"K",IF(Juli!$Q21&gt;0,"U",IF(Juli!$T21="","",Juli!$T21)))</f>
        <v/>
      </c>
      <c r="P22" s="327">
        <f t="shared" si="7"/>
        <v>46247</v>
      </c>
      <c r="Q22" s="328" t="str">
        <f>IF(Aug!$P21&gt;0,"K",IF(Aug!$Q21&gt;0,"U",IF(Aug!$T21="","",Aug!$T21)))</f>
        <v/>
      </c>
      <c r="R22" s="327">
        <f t="shared" si="8"/>
        <v>46278</v>
      </c>
      <c r="S22" s="328" t="str">
        <f>IF(Sept!$P21&gt;0,"K",IF(Sept!$Q21&gt;0,"U",IF(Sept!$T21="","",Sept!$T21)))</f>
        <v/>
      </c>
      <c r="T22" s="327">
        <f t="shared" si="9"/>
        <v>46308</v>
      </c>
      <c r="U22" s="328" t="str">
        <f>IF(Okt!$P21&gt;0,"K",IF(Okt!$Q21&gt;0,"U",IF(Okt!$T21="","",Okt!$T21)))</f>
        <v/>
      </c>
      <c r="V22" s="327">
        <f t="shared" si="10"/>
        <v>46339</v>
      </c>
      <c r="W22" s="328" t="str">
        <f>IF(Nov!$P21&gt;0,"K",IF(Nov!$Q21&gt;0,"U",IF(Nov!$T21="","",Nov!$T21)))</f>
        <v/>
      </c>
      <c r="X22" s="327">
        <f t="shared" si="11"/>
        <v>46369</v>
      </c>
      <c r="Y22" s="333" t="str">
        <f>IF(Dez!$P21&gt;0,"K",IF(Dez!$Q21&gt;0,"U",IF(Dez!$T21="","",Dez!$T21)))</f>
        <v/>
      </c>
    </row>
    <row r="23" spans="1:25" ht="12.4" customHeight="1">
      <c r="A23" s="91">
        <f>Datenblatt!A59</f>
        <v>46327</v>
      </c>
      <c r="B23" s="327">
        <f t="shared" si="0"/>
        <v>46036</v>
      </c>
      <c r="C23" s="328" t="str">
        <f>IF(Jän!$P22&gt;0,"K",IF(Jän!$Q22&gt;0,"U",IF(Jän!$T22="","",Jän!$T22)))</f>
        <v/>
      </c>
      <c r="D23" s="327">
        <f t="shared" si="1"/>
        <v>46067</v>
      </c>
      <c r="E23" s="328" t="str">
        <f>IF(Feb!$P22&gt;0,"K",IF(Feb!$Q22&gt;0,"U",IF(Feb!$T22="","",Feb!$T22)))</f>
        <v/>
      </c>
      <c r="F23" s="327">
        <f t="shared" si="2"/>
        <v>46095</v>
      </c>
      <c r="G23" s="328" t="str">
        <f>IF(März!$P22&gt;0,"K",IF(März!$Q22&gt;0,"U",IF(März!$T22="","",März!$T22)))</f>
        <v/>
      </c>
      <c r="H23" s="327">
        <f t="shared" si="3"/>
        <v>46126</v>
      </c>
      <c r="I23" s="328" t="str">
        <f>IF(April!$P22&gt;0,"K",IF(April!$Q22&gt;0,"U",IF(April!$T22="","",April!$T22)))</f>
        <v/>
      </c>
      <c r="J23" s="327">
        <f t="shared" si="4"/>
        <v>46156</v>
      </c>
      <c r="K23" s="328" t="str">
        <f>IF(Mai!$P22&gt;0,"K",IF(Mai!$Q22&gt;0,"U",IF(Mai!$T22="","",Mai!$T22)))</f>
        <v/>
      </c>
      <c r="L23" s="327">
        <f t="shared" si="5"/>
        <v>46187</v>
      </c>
      <c r="M23" s="328" t="str">
        <f>IF(Juni!$P22&gt;0,"K",IF(Juni!$Q22&gt;0,"U",IF(Juni!$T22="","",Juni!$T22)))</f>
        <v/>
      </c>
      <c r="N23" s="327">
        <f t="shared" si="6"/>
        <v>46217</v>
      </c>
      <c r="O23" s="328" t="str">
        <f>IF(Juli!$P22&gt;0,"K",IF(Juli!$Q22&gt;0,"U",IF(Juli!$T22="","",Juli!$T22)))</f>
        <v/>
      </c>
      <c r="P23" s="327">
        <f t="shared" si="7"/>
        <v>46248</v>
      </c>
      <c r="Q23" s="328" t="str">
        <f>IF(Aug!$P22&gt;0,"K",IF(Aug!$Q22&gt;0,"U",IF(Aug!$T22="","",Aug!$T22)))</f>
        <v/>
      </c>
      <c r="R23" s="327">
        <f t="shared" si="8"/>
        <v>46279</v>
      </c>
      <c r="S23" s="328" t="str">
        <f>IF(Sept!$P22&gt;0,"K",IF(Sept!$Q22&gt;0,"U",IF(Sept!$T22="","",Sept!$T22)))</f>
        <v/>
      </c>
      <c r="T23" s="327">
        <f t="shared" si="9"/>
        <v>46309</v>
      </c>
      <c r="U23" s="328" t="str">
        <f>IF(Okt!$P22&gt;0,"K",IF(Okt!$Q22&gt;0,"U",IF(Okt!$T22="","",Okt!$T22)))</f>
        <v/>
      </c>
      <c r="V23" s="327">
        <f t="shared" si="10"/>
        <v>46340</v>
      </c>
      <c r="W23" s="328" t="str">
        <f>IF(Nov!$P22&gt;0,"K",IF(Nov!$Q22&gt;0,"U",IF(Nov!$T22="","",Nov!$T22)))</f>
        <v/>
      </c>
      <c r="X23" s="327">
        <f t="shared" si="11"/>
        <v>46370</v>
      </c>
      <c r="Y23" s="333" t="str">
        <f>IF(Dez!$P22&gt;0,"K",IF(Dez!$Q22&gt;0,"U",IF(Dez!$T22="","",Dez!$T22)))</f>
        <v/>
      </c>
    </row>
    <row r="24" spans="1:25" ht="12.4" customHeight="1">
      <c r="A24" s="91">
        <f>Datenblatt!A60</f>
        <v>46328</v>
      </c>
      <c r="B24" s="327">
        <f t="shared" si="0"/>
        <v>46037</v>
      </c>
      <c r="C24" s="328" t="str">
        <f>IF(Jän!$P23&gt;0,"K",IF(Jän!$Q23&gt;0,"U",IF(Jän!$T23="","",Jän!$T23)))</f>
        <v/>
      </c>
      <c r="D24" s="327">
        <f t="shared" si="1"/>
        <v>46068</v>
      </c>
      <c r="E24" s="328" t="str">
        <f>IF(Feb!$P23&gt;0,"K",IF(Feb!$Q23&gt;0,"U",IF(Feb!$T23="","",Feb!$T23)))</f>
        <v/>
      </c>
      <c r="F24" s="327">
        <f t="shared" si="2"/>
        <v>46096</v>
      </c>
      <c r="G24" s="328" t="str">
        <f>IF(März!$P23&gt;0,"K",IF(März!$Q23&gt;0,"U",IF(März!$T23="","",März!$T23)))</f>
        <v/>
      </c>
      <c r="H24" s="327">
        <f t="shared" si="3"/>
        <v>46127</v>
      </c>
      <c r="I24" s="328" t="str">
        <f>IF(April!$P23&gt;0,"K",IF(April!$Q23&gt;0,"U",IF(April!$T23="","",April!$T23)))</f>
        <v/>
      </c>
      <c r="J24" s="327">
        <f t="shared" si="4"/>
        <v>46157</v>
      </c>
      <c r="K24" s="328" t="str">
        <f>IF(Mai!$P23&gt;0,"K",IF(Mai!$Q23&gt;0,"U",IF(Mai!$T23="","",Mai!$T23)))</f>
        <v/>
      </c>
      <c r="L24" s="327">
        <f t="shared" si="5"/>
        <v>46188</v>
      </c>
      <c r="M24" s="328" t="str">
        <f>IF(Juni!$P23&gt;0,"K",IF(Juni!$Q23&gt;0,"U",IF(Juni!$T23="","",Juni!$T23)))</f>
        <v/>
      </c>
      <c r="N24" s="327">
        <f t="shared" si="6"/>
        <v>46218</v>
      </c>
      <c r="O24" s="328" t="str">
        <f>IF(Juli!$P23&gt;0,"K",IF(Juli!$Q23&gt;0,"U",IF(Juli!$T23="","",Juli!$T23)))</f>
        <v/>
      </c>
      <c r="P24" s="327">
        <f t="shared" si="7"/>
        <v>46249</v>
      </c>
      <c r="Q24" s="328" t="str">
        <f>IF(Aug!$P23&gt;0,"K",IF(Aug!$Q23&gt;0,"U",IF(Aug!$T23="","",Aug!$T23)))</f>
        <v/>
      </c>
      <c r="R24" s="327">
        <f t="shared" si="8"/>
        <v>46280</v>
      </c>
      <c r="S24" s="328" t="str">
        <f>IF(Sept!$P23&gt;0,"K",IF(Sept!$Q23&gt;0,"U",IF(Sept!$T23="","",Sept!$T23)))</f>
        <v/>
      </c>
      <c r="T24" s="327">
        <f t="shared" si="9"/>
        <v>46310</v>
      </c>
      <c r="U24" s="328" t="str">
        <f>IF(Okt!$P23&gt;0,"K",IF(Okt!$Q23&gt;0,"U",IF(Okt!$T23="","",Okt!$T23)))</f>
        <v/>
      </c>
      <c r="V24" s="327">
        <f t="shared" si="10"/>
        <v>46341</v>
      </c>
      <c r="W24" s="328" t="str">
        <f>IF(Nov!$P23&gt;0,"K",IF(Nov!$Q23&gt;0,"U",IF(Nov!$T23="","",Nov!$T23)))</f>
        <v/>
      </c>
      <c r="X24" s="327">
        <f t="shared" si="11"/>
        <v>46371</v>
      </c>
      <c r="Y24" s="333" t="str">
        <f>IF(Dez!$P23&gt;0,"K",IF(Dez!$Q23&gt;0,"U",IF(Dez!$T23="","",Dez!$T23)))</f>
        <v/>
      </c>
    </row>
    <row r="25" spans="1:25" ht="12.4" customHeight="1">
      <c r="A25" s="91">
        <f>Datenblatt!A61</f>
        <v>46364</v>
      </c>
      <c r="B25" s="327">
        <f t="shared" si="0"/>
        <v>46038</v>
      </c>
      <c r="C25" s="328" t="str">
        <f>IF(Jän!$P24&gt;0,"K",IF(Jän!$Q24&gt;0,"U",IF(Jän!$T24="","",Jän!$T24)))</f>
        <v/>
      </c>
      <c r="D25" s="327">
        <f t="shared" si="1"/>
        <v>46069</v>
      </c>
      <c r="E25" s="328" t="str">
        <f>IF(Feb!$P24&gt;0,"K",IF(Feb!$Q24&gt;0,"U",IF(Feb!$T24="","",Feb!$T24)))</f>
        <v/>
      </c>
      <c r="F25" s="327">
        <f t="shared" si="2"/>
        <v>46097</v>
      </c>
      <c r="G25" s="328" t="str">
        <f>IF(März!$P24&gt;0,"K",IF(März!$Q24&gt;0,"U",IF(März!$T24="","",März!$T24)))</f>
        <v/>
      </c>
      <c r="H25" s="327">
        <f t="shared" si="3"/>
        <v>46128</v>
      </c>
      <c r="I25" s="328" t="str">
        <f>IF(April!$P24&gt;0,"K",IF(April!$Q24&gt;0,"U",IF(April!$T24="","",April!$T24)))</f>
        <v/>
      </c>
      <c r="J25" s="327">
        <f t="shared" si="4"/>
        <v>46158</v>
      </c>
      <c r="K25" s="328" t="str">
        <f>IF(Mai!$P24&gt;0,"K",IF(Mai!$Q24&gt;0,"U",IF(Mai!$T24="","",Mai!$T24)))</f>
        <v/>
      </c>
      <c r="L25" s="327">
        <f t="shared" si="5"/>
        <v>46189</v>
      </c>
      <c r="M25" s="328" t="str">
        <f>IF(Juni!$P24&gt;0,"K",IF(Juni!$Q24&gt;0,"U",IF(Juni!$T24="","",Juni!$T24)))</f>
        <v/>
      </c>
      <c r="N25" s="327">
        <f t="shared" si="6"/>
        <v>46219</v>
      </c>
      <c r="O25" s="328" t="str">
        <f>IF(Juli!$P24&gt;0,"K",IF(Juli!$Q24&gt;0,"U",IF(Juli!$T24="","",Juli!$T24)))</f>
        <v/>
      </c>
      <c r="P25" s="327">
        <f t="shared" si="7"/>
        <v>46250</v>
      </c>
      <c r="Q25" s="328" t="str">
        <f>IF(Aug!$P24&gt;0,"K",IF(Aug!$Q24&gt;0,"U",IF(Aug!$T24="","",Aug!$T24)))</f>
        <v/>
      </c>
      <c r="R25" s="327">
        <f t="shared" si="8"/>
        <v>46281</v>
      </c>
      <c r="S25" s="328" t="str">
        <f>IF(Sept!$P24&gt;0,"K",IF(Sept!$Q24&gt;0,"U",IF(Sept!$T24="","",Sept!$T24)))</f>
        <v/>
      </c>
      <c r="T25" s="327">
        <f t="shared" si="9"/>
        <v>46311</v>
      </c>
      <c r="U25" s="328" t="str">
        <f>IF(Okt!$P24&gt;0,"K",IF(Okt!$Q24&gt;0,"U",IF(Okt!$T24="","",Okt!$T24)))</f>
        <v/>
      </c>
      <c r="V25" s="327">
        <f t="shared" si="10"/>
        <v>46342</v>
      </c>
      <c r="W25" s="328" t="str">
        <f>IF(Nov!$P24&gt;0,"K",IF(Nov!$Q24&gt;0,"U",IF(Nov!$T24="","",Nov!$T24)))</f>
        <v/>
      </c>
      <c r="X25" s="327">
        <f t="shared" si="11"/>
        <v>46372</v>
      </c>
      <c r="Y25" s="333" t="str">
        <f>IF(Dez!$P24&gt;0,"K",IF(Dez!$Q24&gt;0,"U",IF(Dez!$T24="","",Dez!$T24)))</f>
        <v/>
      </c>
    </row>
    <row r="26" spans="1:25" ht="12.4" customHeight="1">
      <c r="A26" s="91">
        <f>Datenblatt!A62</f>
        <v>46380</v>
      </c>
      <c r="B26" s="327">
        <f t="shared" si="0"/>
        <v>46039</v>
      </c>
      <c r="C26" s="328" t="str">
        <f>IF(Jän!$P25&gt;0,"K",IF(Jän!$Q25&gt;0,"U",IF(Jän!$T25="","",Jän!$T25)))</f>
        <v/>
      </c>
      <c r="D26" s="327">
        <f t="shared" si="1"/>
        <v>46070</v>
      </c>
      <c r="E26" s="328" t="str">
        <f>IF(Feb!$P25&gt;0,"K",IF(Feb!$Q25&gt;0,"U",IF(Feb!$T25="","",Feb!$T25)))</f>
        <v/>
      </c>
      <c r="F26" s="327">
        <f t="shared" si="2"/>
        <v>46098</v>
      </c>
      <c r="G26" s="328" t="str">
        <f>IF(März!$P25&gt;0,"K",IF(März!$Q25&gt;0,"U",IF(März!$T25="","",März!$T25)))</f>
        <v/>
      </c>
      <c r="H26" s="327">
        <f t="shared" si="3"/>
        <v>46129</v>
      </c>
      <c r="I26" s="328" t="str">
        <f>IF(April!$P25&gt;0,"K",IF(April!$Q25&gt;0,"U",IF(April!$T25="","",April!$T25)))</f>
        <v/>
      </c>
      <c r="J26" s="327">
        <f t="shared" si="4"/>
        <v>46159</v>
      </c>
      <c r="K26" s="328" t="str">
        <f>IF(Mai!$P25&gt;0,"K",IF(Mai!$Q25&gt;0,"U",IF(Mai!$T25="","",Mai!$T25)))</f>
        <v/>
      </c>
      <c r="L26" s="327">
        <f t="shared" si="5"/>
        <v>46190</v>
      </c>
      <c r="M26" s="328" t="str">
        <f>IF(Juni!$P25&gt;0,"K",IF(Juni!$Q25&gt;0,"U",IF(Juni!$T25="","",Juni!$T25)))</f>
        <v/>
      </c>
      <c r="N26" s="327">
        <f t="shared" si="6"/>
        <v>46220</v>
      </c>
      <c r="O26" s="328" t="str">
        <f>IF(Juli!$P25&gt;0,"K",IF(Juli!$Q25&gt;0,"U",IF(Juli!$T25="","",Juli!$T25)))</f>
        <v/>
      </c>
      <c r="P26" s="327">
        <f t="shared" si="7"/>
        <v>46251</v>
      </c>
      <c r="Q26" s="328" t="str">
        <f>IF(Aug!$P25&gt;0,"K",IF(Aug!$Q25&gt;0,"U",IF(Aug!$T25="","",Aug!$T25)))</f>
        <v/>
      </c>
      <c r="R26" s="327">
        <f t="shared" si="8"/>
        <v>46282</v>
      </c>
      <c r="S26" s="328" t="str">
        <f>IF(Sept!$P25&gt;0,"K",IF(Sept!$Q25&gt;0,"U",IF(Sept!$T25="","",Sept!$T25)))</f>
        <v/>
      </c>
      <c r="T26" s="327">
        <f t="shared" si="9"/>
        <v>46312</v>
      </c>
      <c r="U26" s="328" t="str">
        <f>IF(Okt!$P25&gt;0,"K",IF(Okt!$Q25&gt;0,"U",IF(Okt!$T25="","",Okt!$T25)))</f>
        <v/>
      </c>
      <c r="V26" s="327">
        <f t="shared" si="10"/>
        <v>46343</v>
      </c>
      <c r="W26" s="328" t="str">
        <f>IF(Nov!$P25&gt;0,"K",IF(Nov!$Q25&gt;0,"U",IF(Nov!$T25="","",Nov!$T25)))</f>
        <v/>
      </c>
      <c r="X26" s="327">
        <f t="shared" si="11"/>
        <v>46373</v>
      </c>
      <c r="Y26" s="333" t="str">
        <f>IF(Dez!$P25&gt;0,"K",IF(Dez!$Q25&gt;0,"U",IF(Dez!$T25="","",Dez!$T25)))</f>
        <v/>
      </c>
    </row>
    <row r="27" spans="1:25" ht="12.4" customHeight="1">
      <c r="A27" s="91">
        <f>Datenblatt!A63</f>
        <v>46381</v>
      </c>
      <c r="B27" s="327">
        <f t="shared" si="0"/>
        <v>46040</v>
      </c>
      <c r="C27" s="328" t="str">
        <f>IF(Jän!$P26&gt;0,"K",IF(Jän!$Q26&gt;0,"U",IF(Jän!$T26="","",Jän!$T26)))</f>
        <v/>
      </c>
      <c r="D27" s="327">
        <f t="shared" si="1"/>
        <v>46071</v>
      </c>
      <c r="E27" s="328" t="str">
        <f>IF(Feb!$P26&gt;0,"K",IF(Feb!$Q26&gt;0,"U",IF(Feb!$T26="","",Feb!$T26)))</f>
        <v/>
      </c>
      <c r="F27" s="327">
        <f t="shared" si="2"/>
        <v>46099</v>
      </c>
      <c r="G27" s="328" t="str">
        <f>IF(März!$P26&gt;0,"K",IF(März!$Q26&gt;0,"U",IF(März!$T26="","",März!$T26)))</f>
        <v/>
      </c>
      <c r="H27" s="327">
        <f t="shared" si="3"/>
        <v>46130</v>
      </c>
      <c r="I27" s="328" t="str">
        <f>IF(April!$P26&gt;0,"K",IF(April!$Q26&gt;0,"U",IF(April!$T26="","",April!$T26)))</f>
        <v/>
      </c>
      <c r="J27" s="327">
        <f t="shared" si="4"/>
        <v>46160</v>
      </c>
      <c r="K27" s="328" t="str">
        <f>IF(Mai!$P26&gt;0,"K",IF(Mai!$Q26&gt;0,"U",IF(Mai!$T26="","",Mai!$T26)))</f>
        <v/>
      </c>
      <c r="L27" s="327">
        <f t="shared" si="5"/>
        <v>46191</v>
      </c>
      <c r="M27" s="328" t="str">
        <f>IF(Juni!$P26&gt;0,"K",IF(Juni!$Q26&gt;0,"U",IF(Juni!$T26="","",Juni!$T26)))</f>
        <v/>
      </c>
      <c r="N27" s="327">
        <f t="shared" si="6"/>
        <v>46221</v>
      </c>
      <c r="O27" s="328" t="str">
        <f>IF(Juli!$P26&gt;0,"K",IF(Juli!$Q26&gt;0,"U",IF(Juli!$T26="","",Juli!$T26)))</f>
        <v/>
      </c>
      <c r="P27" s="327">
        <f t="shared" si="7"/>
        <v>46252</v>
      </c>
      <c r="Q27" s="328" t="str">
        <f>IF(Aug!$P26&gt;0,"K",IF(Aug!$Q26&gt;0,"U",IF(Aug!$T26="","",Aug!$T26)))</f>
        <v/>
      </c>
      <c r="R27" s="327">
        <f t="shared" si="8"/>
        <v>46283</v>
      </c>
      <c r="S27" s="328" t="str">
        <f>IF(Sept!$P26&gt;0,"K",IF(Sept!$Q26&gt;0,"U",IF(Sept!$T26="","",Sept!$T26)))</f>
        <v/>
      </c>
      <c r="T27" s="327">
        <f t="shared" si="9"/>
        <v>46313</v>
      </c>
      <c r="U27" s="328" t="str">
        <f>IF(Okt!$P26&gt;0,"K",IF(Okt!$Q26&gt;0,"U",IF(Okt!$T26="","",Okt!$T26)))</f>
        <v/>
      </c>
      <c r="V27" s="327">
        <f t="shared" si="10"/>
        <v>46344</v>
      </c>
      <c r="W27" s="328" t="str">
        <f>IF(Nov!$P26&gt;0,"K",IF(Nov!$Q26&gt;0,"U",IF(Nov!$T26="","",Nov!$T26)))</f>
        <v/>
      </c>
      <c r="X27" s="327">
        <f t="shared" si="11"/>
        <v>46374</v>
      </c>
      <c r="Y27" s="333" t="str">
        <f>IF(Dez!$P26&gt;0,"K",IF(Dez!$Q26&gt;0,"U",IF(Dez!$T26="","",Dez!$T26)))</f>
        <v/>
      </c>
    </row>
    <row r="28" spans="1:25" ht="12.4" customHeight="1">
      <c r="A28" s="91">
        <f>Datenblatt!A64</f>
        <v>46382</v>
      </c>
      <c r="B28" s="327">
        <f t="shared" si="0"/>
        <v>46041</v>
      </c>
      <c r="C28" s="328" t="str">
        <f>IF(Jän!$P27&gt;0,"K",IF(Jän!$Q27&gt;0,"U",IF(Jän!$T27="","",Jän!$T27)))</f>
        <v/>
      </c>
      <c r="D28" s="327">
        <f t="shared" si="1"/>
        <v>46072</v>
      </c>
      <c r="E28" s="328" t="str">
        <f>IF(Feb!$P27&gt;0,"K",IF(Feb!$Q27&gt;0,"U",IF(Feb!$T27="","",Feb!$T27)))</f>
        <v/>
      </c>
      <c r="F28" s="327">
        <f t="shared" si="2"/>
        <v>46100</v>
      </c>
      <c r="G28" s="328" t="str">
        <f>IF(März!$P27&gt;0,"K",IF(März!$Q27&gt;0,"U",IF(März!$T27="","",März!$T27)))</f>
        <v/>
      </c>
      <c r="H28" s="327">
        <f t="shared" si="3"/>
        <v>46131</v>
      </c>
      <c r="I28" s="328" t="str">
        <f>IF(April!$P27&gt;0,"K",IF(April!$Q27&gt;0,"U",IF(April!$T27="","",April!$T27)))</f>
        <v/>
      </c>
      <c r="J28" s="327">
        <f t="shared" si="4"/>
        <v>46161</v>
      </c>
      <c r="K28" s="328" t="str">
        <f>IF(Mai!$P27&gt;0,"K",IF(Mai!$Q27&gt;0,"U",IF(Mai!$T27="","",Mai!$T27)))</f>
        <v/>
      </c>
      <c r="L28" s="327">
        <f t="shared" si="5"/>
        <v>46192</v>
      </c>
      <c r="M28" s="328" t="str">
        <f>IF(Juni!$P27&gt;0,"K",IF(Juni!$Q27&gt;0,"U",IF(Juni!$T27="","",Juni!$T27)))</f>
        <v/>
      </c>
      <c r="N28" s="327">
        <f t="shared" si="6"/>
        <v>46222</v>
      </c>
      <c r="O28" s="328" t="str">
        <f>IF(Juli!$P27&gt;0,"K",IF(Juli!$Q27&gt;0,"U",IF(Juli!$T27="","",Juli!$T27)))</f>
        <v/>
      </c>
      <c r="P28" s="327">
        <f t="shared" si="7"/>
        <v>46253</v>
      </c>
      <c r="Q28" s="328" t="str">
        <f>IF(Aug!$P27&gt;0,"K",IF(Aug!$Q27&gt;0,"U",IF(Aug!$T27="","",Aug!$T27)))</f>
        <v/>
      </c>
      <c r="R28" s="327">
        <f t="shared" si="8"/>
        <v>46284</v>
      </c>
      <c r="S28" s="328" t="str">
        <f>IF(Sept!$P27&gt;0,"K",IF(Sept!$Q27&gt;0,"U",IF(Sept!$T27="","",Sept!$T27)))</f>
        <v/>
      </c>
      <c r="T28" s="327">
        <f t="shared" si="9"/>
        <v>46314</v>
      </c>
      <c r="U28" s="328" t="str">
        <f>IF(Okt!$P27&gt;0,"K",IF(Okt!$Q27&gt;0,"U",IF(Okt!$T27="","",Okt!$T27)))</f>
        <v/>
      </c>
      <c r="V28" s="327">
        <f t="shared" si="10"/>
        <v>46345</v>
      </c>
      <c r="W28" s="328" t="str">
        <f>IF(Nov!$P27&gt;0,"K",IF(Nov!$Q27&gt;0,"U",IF(Nov!$T27="","",Nov!$T27)))</f>
        <v/>
      </c>
      <c r="X28" s="327">
        <f t="shared" si="11"/>
        <v>46375</v>
      </c>
      <c r="Y28" s="333" t="str">
        <f>IF(Dez!$P27&gt;0,"K",IF(Dez!$Q27&gt;0,"U",IF(Dez!$T27="","",Dez!$T27)))</f>
        <v/>
      </c>
    </row>
    <row r="29" spans="1:25" ht="12.4" customHeight="1">
      <c r="A29" s="91">
        <f>Datenblatt!A65</f>
        <v>46387</v>
      </c>
      <c r="B29" s="327">
        <f t="shared" si="0"/>
        <v>46042</v>
      </c>
      <c r="C29" s="328" t="str">
        <f>IF(Jän!$P28&gt;0,"K",IF(Jän!$Q28&gt;0,"U",IF(Jän!$T28="","",Jän!$T28)))</f>
        <v/>
      </c>
      <c r="D29" s="327">
        <f t="shared" si="1"/>
        <v>46073</v>
      </c>
      <c r="E29" s="328" t="str">
        <f>IF(Feb!$P28&gt;0,"K",IF(Feb!$Q28&gt;0,"U",IF(Feb!$T28="","",Feb!$T28)))</f>
        <v/>
      </c>
      <c r="F29" s="327">
        <f t="shared" si="2"/>
        <v>46101</v>
      </c>
      <c r="G29" s="328" t="str">
        <f>IF(März!$P28&gt;0,"K",IF(März!$Q28&gt;0,"U",IF(März!$T28="","",März!$T28)))</f>
        <v/>
      </c>
      <c r="H29" s="327">
        <f t="shared" si="3"/>
        <v>46132</v>
      </c>
      <c r="I29" s="328" t="str">
        <f>IF(April!$P28&gt;0,"K",IF(April!$Q28&gt;0,"U",IF(April!$T28="","",April!$T28)))</f>
        <v/>
      </c>
      <c r="J29" s="327">
        <f t="shared" si="4"/>
        <v>46162</v>
      </c>
      <c r="K29" s="328" t="str">
        <f>IF(Mai!$P28&gt;0,"K",IF(Mai!$Q28&gt;0,"U",IF(Mai!$T28="","",Mai!$T28)))</f>
        <v/>
      </c>
      <c r="L29" s="327">
        <f t="shared" si="5"/>
        <v>46193</v>
      </c>
      <c r="M29" s="328" t="str">
        <f>IF(Juni!$P28&gt;0,"K",IF(Juni!$Q28&gt;0,"U",IF(Juni!$T28="","",Juni!$T28)))</f>
        <v/>
      </c>
      <c r="N29" s="327">
        <f t="shared" si="6"/>
        <v>46223</v>
      </c>
      <c r="O29" s="328" t="str">
        <f>IF(Juli!$P28&gt;0,"K",IF(Juli!$Q28&gt;0,"U",IF(Juli!$T28="","",Juli!$T28)))</f>
        <v/>
      </c>
      <c r="P29" s="327">
        <f t="shared" si="7"/>
        <v>46254</v>
      </c>
      <c r="Q29" s="328" t="str">
        <f>IF(Aug!$P28&gt;0,"K",IF(Aug!$Q28&gt;0,"U",IF(Aug!$T28="","",Aug!$T28)))</f>
        <v/>
      </c>
      <c r="R29" s="327">
        <f t="shared" si="8"/>
        <v>46285</v>
      </c>
      <c r="S29" s="328" t="str">
        <f>IF(Sept!$P28&gt;0,"K",IF(Sept!$Q28&gt;0,"U",IF(Sept!$T28="","",Sept!$T28)))</f>
        <v/>
      </c>
      <c r="T29" s="327">
        <f t="shared" si="9"/>
        <v>46315</v>
      </c>
      <c r="U29" s="328" t="str">
        <f>IF(Okt!$P28&gt;0,"K",IF(Okt!$Q28&gt;0,"U",IF(Okt!$T28="","",Okt!$T28)))</f>
        <v/>
      </c>
      <c r="V29" s="327">
        <f t="shared" si="10"/>
        <v>46346</v>
      </c>
      <c r="W29" s="328" t="str">
        <f>IF(Nov!$P28&gt;0,"K",IF(Nov!$Q28&gt;0,"U",IF(Nov!$T28="","",Nov!$T28)))</f>
        <v/>
      </c>
      <c r="X29" s="327">
        <f t="shared" si="11"/>
        <v>46376</v>
      </c>
      <c r="Y29" s="333" t="str">
        <f>IF(Dez!$P28&gt;0,"K",IF(Dez!$Q28&gt;0,"U",IF(Dez!$T28="","",Dez!$T28)))</f>
        <v/>
      </c>
    </row>
    <row r="30" spans="1:25" ht="12.4" customHeight="1">
      <c r="A30" s="91"/>
      <c r="B30" s="327">
        <f t="shared" si="0"/>
        <v>46043</v>
      </c>
      <c r="C30" s="328" t="str">
        <f>IF(Jän!$P29&gt;0,"K",IF(Jän!$Q29&gt;0,"U",IF(Jän!$T29="","",Jän!$T29)))</f>
        <v/>
      </c>
      <c r="D30" s="327">
        <f t="shared" si="1"/>
        <v>46074</v>
      </c>
      <c r="E30" s="328" t="str">
        <f>IF(Feb!$P29&gt;0,"K",IF(Feb!$Q29&gt;0,"U",IF(Feb!$T29="","",Feb!$T29)))</f>
        <v/>
      </c>
      <c r="F30" s="327">
        <f t="shared" si="2"/>
        <v>46102</v>
      </c>
      <c r="G30" s="328" t="str">
        <f>IF(März!$P29&gt;0,"K",IF(März!$Q29&gt;0,"U",IF(März!$T29="","",März!$T29)))</f>
        <v/>
      </c>
      <c r="H30" s="327">
        <f t="shared" si="3"/>
        <v>46133</v>
      </c>
      <c r="I30" s="328" t="str">
        <f>IF(April!$P29&gt;0,"K",IF(April!$Q29&gt;0,"U",IF(April!$T29="","",April!$T29)))</f>
        <v/>
      </c>
      <c r="J30" s="327">
        <f t="shared" si="4"/>
        <v>46163</v>
      </c>
      <c r="K30" s="328" t="str">
        <f>IF(Mai!$P29&gt;0,"K",IF(Mai!$Q29&gt;0,"U",IF(Mai!$T29="","",Mai!$T29)))</f>
        <v/>
      </c>
      <c r="L30" s="327">
        <f t="shared" si="5"/>
        <v>46194</v>
      </c>
      <c r="M30" s="328" t="str">
        <f>IF(Juni!$P29&gt;0,"K",IF(Juni!$Q29&gt;0,"U",IF(Juni!$T29="","",Juni!$T29)))</f>
        <v/>
      </c>
      <c r="N30" s="327">
        <f t="shared" si="6"/>
        <v>46224</v>
      </c>
      <c r="O30" s="328" t="str">
        <f>IF(Juli!$P29&gt;0,"K",IF(Juli!$Q29&gt;0,"U",IF(Juli!$T29="","",Juli!$T29)))</f>
        <v/>
      </c>
      <c r="P30" s="327">
        <f t="shared" si="7"/>
        <v>46255</v>
      </c>
      <c r="Q30" s="328" t="str">
        <f>IF(Aug!$P29&gt;0,"K",IF(Aug!$Q29&gt;0,"U",IF(Aug!$T29="","",Aug!$T29)))</f>
        <v/>
      </c>
      <c r="R30" s="327">
        <f t="shared" si="8"/>
        <v>46286</v>
      </c>
      <c r="S30" s="328" t="str">
        <f>IF(Sept!$P29&gt;0,"K",IF(Sept!$Q29&gt;0,"U",IF(Sept!$T29="","",Sept!$T29)))</f>
        <v/>
      </c>
      <c r="T30" s="327">
        <f t="shared" si="9"/>
        <v>46316</v>
      </c>
      <c r="U30" s="328" t="str">
        <f>IF(Okt!$P29&gt;0,"K",IF(Okt!$Q29&gt;0,"U",IF(Okt!$T29="","",Okt!$T29)))</f>
        <v/>
      </c>
      <c r="V30" s="327">
        <f t="shared" si="10"/>
        <v>46347</v>
      </c>
      <c r="W30" s="328" t="str">
        <f>IF(Nov!$P29&gt;0,"K",IF(Nov!$Q29&gt;0,"U",IF(Nov!$T29="","",Nov!$T29)))</f>
        <v/>
      </c>
      <c r="X30" s="327">
        <f t="shared" si="11"/>
        <v>46377</v>
      </c>
      <c r="Y30" s="333" t="str">
        <f>IF(Dez!$P29&gt;0,"K",IF(Dez!$Q29&gt;0,"U",IF(Dez!$T29="","",Dez!$T29)))</f>
        <v/>
      </c>
    </row>
    <row r="31" spans="1:25" ht="12.4" customHeight="1">
      <c r="A31" s="91"/>
      <c r="B31" s="327">
        <f t="shared" si="0"/>
        <v>46044</v>
      </c>
      <c r="C31" s="328" t="str">
        <f>IF(Jän!$P30&gt;0,"K",IF(Jän!$Q30&gt;0,"U",IF(Jän!$T30="","",Jän!$T30)))</f>
        <v/>
      </c>
      <c r="D31" s="327">
        <f t="shared" si="1"/>
        <v>46075</v>
      </c>
      <c r="E31" s="328" t="str">
        <f>IF(Feb!$P30&gt;0,"K",IF(Feb!$Q30&gt;0,"U",IF(Feb!$T30="","",Feb!$T30)))</f>
        <v/>
      </c>
      <c r="F31" s="327">
        <f t="shared" si="2"/>
        <v>46103</v>
      </c>
      <c r="G31" s="328" t="str">
        <f>IF(März!$P30&gt;0,"K",IF(März!$Q30&gt;0,"U",IF(März!$T30="","",März!$T30)))</f>
        <v/>
      </c>
      <c r="H31" s="327">
        <f t="shared" si="3"/>
        <v>46134</v>
      </c>
      <c r="I31" s="328" t="str">
        <f>IF(April!$P30&gt;0,"K",IF(April!$Q30&gt;0,"U",IF(April!$T30="","",April!$T30)))</f>
        <v/>
      </c>
      <c r="J31" s="327">
        <f t="shared" si="4"/>
        <v>46164</v>
      </c>
      <c r="K31" s="328" t="str">
        <f>IF(Mai!$P30&gt;0,"K",IF(Mai!$Q30&gt;0,"U",IF(Mai!$T30="","",Mai!$T30)))</f>
        <v/>
      </c>
      <c r="L31" s="327">
        <f t="shared" si="5"/>
        <v>46195</v>
      </c>
      <c r="M31" s="328" t="str">
        <f>IF(Juni!$P30&gt;0,"K",IF(Juni!$Q30&gt;0,"U",IF(Juni!$T30="","",Juni!$T30)))</f>
        <v/>
      </c>
      <c r="N31" s="327">
        <f t="shared" si="6"/>
        <v>46225</v>
      </c>
      <c r="O31" s="328" t="str">
        <f>IF(Juli!$P30&gt;0,"K",IF(Juli!$Q30&gt;0,"U",IF(Juli!$T30="","",Juli!$T30)))</f>
        <v/>
      </c>
      <c r="P31" s="327">
        <f t="shared" si="7"/>
        <v>46256</v>
      </c>
      <c r="Q31" s="328" t="str">
        <f>IF(Aug!$P30&gt;0,"K",IF(Aug!$Q30&gt;0,"U",IF(Aug!$T30="","",Aug!$T30)))</f>
        <v/>
      </c>
      <c r="R31" s="327">
        <f t="shared" si="8"/>
        <v>46287</v>
      </c>
      <c r="S31" s="328" t="str">
        <f>IF(Sept!$P30&gt;0,"K",IF(Sept!$Q30&gt;0,"U",IF(Sept!$T30="","",Sept!$T30)))</f>
        <v/>
      </c>
      <c r="T31" s="327">
        <f t="shared" si="9"/>
        <v>46317</v>
      </c>
      <c r="U31" s="328" t="str">
        <f>IF(Okt!$P30&gt;0,"K",IF(Okt!$Q30&gt;0,"U",IF(Okt!$T30="","",Okt!$T30)))</f>
        <v/>
      </c>
      <c r="V31" s="327">
        <f t="shared" si="10"/>
        <v>46348</v>
      </c>
      <c r="W31" s="328" t="str">
        <f>IF(Nov!$P30&gt;0,"K",IF(Nov!$Q30&gt;0,"U",IF(Nov!$T30="","",Nov!$T30)))</f>
        <v/>
      </c>
      <c r="X31" s="327">
        <f t="shared" si="11"/>
        <v>46378</v>
      </c>
      <c r="Y31" s="333" t="str">
        <f>IF(Dez!$P30&gt;0,"K",IF(Dez!$Q30&gt;0,"U",IF(Dez!$T30="","",Dez!$T30)))</f>
        <v/>
      </c>
    </row>
    <row r="32" spans="1:25" ht="12.4" customHeight="1">
      <c r="A32" s="91"/>
      <c r="B32" s="327">
        <f t="shared" si="0"/>
        <v>46045</v>
      </c>
      <c r="C32" s="328" t="str">
        <f>IF(Jän!$P31&gt;0,"K",IF(Jän!$Q31&gt;0,"U",IF(Jän!$T31="","",Jän!$T31)))</f>
        <v/>
      </c>
      <c r="D32" s="327">
        <f t="shared" si="1"/>
        <v>46076</v>
      </c>
      <c r="E32" s="328" t="str">
        <f>IF(Feb!$P31&gt;0,"K",IF(Feb!$Q31&gt;0,"U",IF(Feb!$T31="","",Feb!$T31)))</f>
        <v/>
      </c>
      <c r="F32" s="327">
        <f t="shared" si="2"/>
        <v>46104</v>
      </c>
      <c r="G32" s="328" t="str">
        <f>IF(März!$P31&gt;0,"K",IF(März!$Q31&gt;0,"U",IF(März!$T31="","",März!$T31)))</f>
        <v/>
      </c>
      <c r="H32" s="327">
        <f t="shared" si="3"/>
        <v>46135</v>
      </c>
      <c r="I32" s="328" t="str">
        <f>IF(April!$P31&gt;0,"K",IF(April!$Q31&gt;0,"U",IF(April!$T31="","",April!$T31)))</f>
        <v/>
      </c>
      <c r="J32" s="327">
        <f t="shared" si="4"/>
        <v>46165</v>
      </c>
      <c r="K32" s="328" t="str">
        <f>IF(Mai!$P31&gt;0,"K",IF(Mai!$Q31&gt;0,"U",IF(Mai!$T31="","",Mai!$T31)))</f>
        <v/>
      </c>
      <c r="L32" s="327">
        <f t="shared" si="5"/>
        <v>46196</v>
      </c>
      <c r="M32" s="328" t="str">
        <f>IF(Juni!$P31&gt;0,"K",IF(Juni!$Q31&gt;0,"U",IF(Juni!$T31="","",Juni!$T31)))</f>
        <v/>
      </c>
      <c r="N32" s="327">
        <f t="shared" si="6"/>
        <v>46226</v>
      </c>
      <c r="O32" s="328" t="str">
        <f>IF(Juli!$P31&gt;0,"K",IF(Juli!$Q31&gt;0,"U",IF(Juli!$T31="","",Juli!$T31)))</f>
        <v/>
      </c>
      <c r="P32" s="327">
        <f t="shared" si="7"/>
        <v>46257</v>
      </c>
      <c r="Q32" s="328" t="str">
        <f>IF(Aug!$P31&gt;0,"K",IF(Aug!$Q31&gt;0,"U",IF(Aug!$T31="","",Aug!$T31)))</f>
        <v/>
      </c>
      <c r="R32" s="327">
        <f t="shared" si="8"/>
        <v>46288</v>
      </c>
      <c r="S32" s="328" t="str">
        <f>IF(Sept!$P31&gt;0,"K",IF(Sept!$Q31&gt;0,"U",IF(Sept!$T31="","",Sept!$T31)))</f>
        <v/>
      </c>
      <c r="T32" s="327">
        <f t="shared" si="9"/>
        <v>46318</v>
      </c>
      <c r="U32" s="328" t="str">
        <f>IF(Okt!$P31&gt;0,"K",IF(Okt!$Q31&gt;0,"U",IF(Okt!$T31="","",Okt!$T31)))</f>
        <v/>
      </c>
      <c r="V32" s="327">
        <f t="shared" si="10"/>
        <v>46349</v>
      </c>
      <c r="W32" s="328" t="str">
        <f>IF(Nov!$P31&gt;0,"K",IF(Nov!$Q31&gt;0,"U",IF(Nov!$T31="","",Nov!$T31)))</f>
        <v/>
      </c>
      <c r="X32" s="327">
        <f t="shared" si="11"/>
        <v>46379</v>
      </c>
      <c r="Y32" s="333" t="str">
        <f>IF(Dez!$P31&gt;0,"K",IF(Dez!$Q31&gt;0,"U",IF(Dez!$T31="","",Dez!$T31)))</f>
        <v/>
      </c>
    </row>
    <row r="33" spans="1:25" ht="12.4" customHeight="1">
      <c r="A33" s="91"/>
      <c r="B33" s="327">
        <f t="shared" si="0"/>
        <v>46046</v>
      </c>
      <c r="C33" s="328" t="str">
        <f>IF(Jän!$P32&gt;0,"K",IF(Jän!$Q32&gt;0,"U",IF(Jän!$T32="","",Jän!$T32)))</f>
        <v/>
      </c>
      <c r="D33" s="327">
        <f t="shared" si="1"/>
        <v>46077</v>
      </c>
      <c r="E33" s="328" t="str">
        <f>IF(Feb!$P32&gt;0,"K",IF(Feb!$Q32&gt;0,"U",IF(Feb!$T32="","",Feb!$T32)))</f>
        <v/>
      </c>
      <c r="F33" s="327">
        <f t="shared" si="2"/>
        <v>46105</v>
      </c>
      <c r="G33" s="328" t="str">
        <f>IF(März!$P32&gt;0,"K",IF(März!$Q32&gt;0,"U",IF(März!$T32="","",März!$T32)))</f>
        <v/>
      </c>
      <c r="H33" s="327">
        <f t="shared" si="3"/>
        <v>46136</v>
      </c>
      <c r="I33" s="328" t="str">
        <f>IF(April!$P32&gt;0,"K",IF(April!$Q32&gt;0,"U",IF(April!$T32="","",April!$T32)))</f>
        <v/>
      </c>
      <c r="J33" s="327">
        <f t="shared" si="4"/>
        <v>46166</v>
      </c>
      <c r="K33" s="328" t="str">
        <f>IF(Mai!$P32&gt;0,"K",IF(Mai!$Q32&gt;0,"U",IF(Mai!$T32="","",Mai!$T32)))</f>
        <v/>
      </c>
      <c r="L33" s="327">
        <f t="shared" si="5"/>
        <v>46197</v>
      </c>
      <c r="M33" s="328" t="str">
        <f>IF(Juni!$P32&gt;0,"K",IF(Juni!$Q32&gt;0,"U",IF(Juni!$T32="","",Juni!$T32)))</f>
        <v/>
      </c>
      <c r="N33" s="327">
        <f t="shared" si="6"/>
        <v>46227</v>
      </c>
      <c r="O33" s="328" t="str">
        <f>IF(Juli!$P32&gt;0,"K",IF(Juli!$Q32&gt;0,"U",IF(Juli!$T32="","",Juli!$T32)))</f>
        <v/>
      </c>
      <c r="P33" s="327">
        <f t="shared" si="7"/>
        <v>46258</v>
      </c>
      <c r="Q33" s="328" t="str">
        <f>IF(Aug!$P32&gt;0,"K",IF(Aug!$Q32&gt;0,"U",IF(Aug!$T32="","",Aug!$T32)))</f>
        <v/>
      </c>
      <c r="R33" s="327">
        <f t="shared" si="8"/>
        <v>46289</v>
      </c>
      <c r="S33" s="328" t="str">
        <f>IF(Sept!$P32&gt;0,"K",IF(Sept!$Q32&gt;0,"U",IF(Sept!$T32="","",Sept!$T32)))</f>
        <v/>
      </c>
      <c r="T33" s="327">
        <f t="shared" si="9"/>
        <v>46319</v>
      </c>
      <c r="U33" s="328" t="str">
        <f>IF(Okt!$P32&gt;0,"K",IF(Okt!$Q32&gt;0,"U",IF(Okt!$T32="","",Okt!$T32)))</f>
        <v/>
      </c>
      <c r="V33" s="327">
        <f t="shared" si="10"/>
        <v>46350</v>
      </c>
      <c r="W33" s="328" t="str">
        <f>IF(Nov!$P32&gt;0,"K",IF(Nov!$Q32&gt;0,"U",IF(Nov!$T32="","",Nov!$T32)))</f>
        <v/>
      </c>
      <c r="X33" s="327">
        <f t="shared" si="11"/>
        <v>46380</v>
      </c>
      <c r="Y33" s="333" t="str">
        <f>IF(Dez!$P32&gt;0,"K",IF(Dez!$Q32&gt;0,"U",IF(Dez!$T32="","",Dez!$T32)))</f>
        <v/>
      </c>
    </row>
    <row r="34" spans="1:25" ht="12.4" customHeight="1">
      <c r="A34" s="91"/>
      <c r="B34" s="327">
        <f t="shared" si="0"/>
        <v>46047</v>
      </c>
      <c r="C34" s="328" t="str">
        <f>IF(Jän!$P33&gt;0,"K",IF(Jän!$Q33&gt;0,"U",IF(Jän!$T33="","",Jän!$T33)))</f>
        <v/>
      </c>
      <c r="D34" s="327">
        <f t="shared" si="1"/>
        <v>46078</v>
      </c>
      <c r="E34" s="328" t="str">
        <f>IF(Feb!$P33&gt;0,"K",IF(Feb!$Q33&gt;0,"U",IF(Feb!$T33="","",Feb!$T33)))</f>
        <v/>
      </c>
      <c r="F34" s="327">
        <f t="shared" si="2"/>
        <v>46106</v>
      </c>
      <c r="G34" s="328" t="str">
        <f>IF(März!$P33&gt;0,"K",IF(März!$Q33&gt;0,"U",IF(März!$T33="","",März!$T33)))</f>
        <v/>
      </c>
      <c r="H34" s="327">
        <f t="shared" si="3"/>
        <v>46137</v>
      </c>
      <c r="I34" s="328" t="str">
        <f>IF(April!$P33&gt;0,"K",IF(April!$Q33&gt;0,"U",IF(April!$T33="","",April!$T33)))</f>
        <v/>
      </c>
      <c r="J34" s="327">
        <f t="shared" si="4"/>
        <v>46167</v>
      </c>
      <c r="K34" s="328" t="str">
        <f>IF(Mai!$P33&gt;0,"K",IF(Mai!$Q33&gt;0,"U",IF(Mai!$T33="","",Mai!$T33)))</f>
        <v/>
      </c>
      <c r="L34" s="327">
        <f t="shared" si="5"/>
        <v>46198</v>
      </c>
      <c r="M34" s="328" t="str">
        <f>IF(Juni!$P33&gt;0,"K",IF(Juni!$Q33&gt;0,"U",IF(Juni!$T33="","",Juni!$T33)))</f>
        <v/>
      </c>
      <c r="N34" s="327">
        <f t="shared" si="6"/>
        <v>46228</v>
      </c>
      <c r="O34" s="328" t="str">
        <f>IF(Juli!$P33&gt;0,"K",IF(Juli!$Q33&gt;0,"U",IF(Juli!$T33="","",Juli!$T33)))</f>
        <v/>
      </c>
      <c r="P34" s="327">
        <f t="shared" si="7"/>
        <v>46259</v>
      </c>
      <c r="Q34" s="328" t="str">
        <f>IF(Aug!$P33&gt;0,"K",IF(Aug!$Q33&gt;0,"U",IF(Aug!$T33="","",Aug!$T33)))</f>
        <v/>
      </c>
      <c r="R34" s="327">
        <f t="shared" si="8"/>
        <v>46290</v>
      </c>
      <c r="S34" s="328" t="str">
        <f>IF(Sept!$P33&gt;0,"K",IF(Sept!$Q33&gt;0,"U",IF(Sept!$T33="","",Sept!$T33)))</f>
        <v/>
      </c>
      <c r="T34" s="327">
        <f t="shared" si="9"/>
        <v>46320</v>
      </c>
      <c r="U34" s="328" t="str">
        <f>IF(Okt!$P33&gt;0,"K",IF(Okt!$Q33&gt;0,"U",IF(Okt!$T33="","",Okt!$T33)))</f>
        <v/>
      </c>
      <c r="V34" s="327">
        <f t="shared" si="10"/>
        <v>46351</v>
      </c>
      <c r="W34" s="328" t="str">
        <f>IF(Nov!$P33&gt;0,"K",IF(Nov!$Q33&gt;0,"U",IF(Nov!$T33="","",Nov!$T33)))</f>
        <v/>
      </c>
      <c r="X34" s="327">
        <f t="shared" si="11"/>
        <v>46381</v>
      </c>
      <c r="Y34" s="333" t="str">
        <f>IF(Dez!$P33&gt;0,"K",IF(Dez!$Q33&gt;0,"U",IF(Dez!$T33="","",Dez!$T33)))</f>
        <v/>
      </c>
    </row>
    <row r="35" spans="1:25" ht="12.4" customHeight="1">
      <c r="A35" s="91"/>
      <c r="B35" s="327">
        <f t="shared" si="0"/>
        <v>46048</v>
      </c>
      <c r="C35" s="328" t="str">
        <f>IF(Jän!$P34&gt;0,"K",IF(Jän!$Q34&gt;0,"U",IF(Jän!$T34="","",Jän!$T34)))</f>
        <v/>
      </c>
      <c r="D35" s="327">
        <f t="shared" si="1"/>
        <v>46079</v>
      </c>
      <c r="E35" s="328" t="str">
        <f>IF(Feb!$P34&gt;0,"K",IF(Feb!$Q34&gt;0,"U",IF(Feb!$T34="","",Feb!$T34)))</f>
        <v/>
      </c>
      <c r="F35" s="327">
        <f t="shared" si="2"/>
        <v>46107</v>
      </c>
      <c r="G35" s="328" t="str">
        <f>IF(März!$P34&gt;0,"K",IF(März!$Q34&gt;0,"U",IF(März!$T34="","",März!$T34)))</f>
        <v/>
      </c>
      <c r="H35" s="327">
        <f t="shared" si="3"/>
        <v>46138</v>
      </c>
      <c r="I35" s="328" t="str">
        <f>IF(April!$P34&gt;0,"K",IF(April!$Q34&gt;0,"U",IF(April!$T34="","",April!$T34)))</f>
        <v/>
      </c>
      <c r="J35" s="327">
        <f t="shared" si="4"/>
        <v>46168</v>
      </c>
      <c r="K35" s="328" t="str">
        <f>IF(Mai!$P34&gt;0,"K",IF(Mai!$Q34&gt;0,"U",IF(Mai!$T34="","",Mai!$T34)))</f>
        <v/>
      </c>
      <c r="L35" s="327">
        <f t="shared" si="5"/>
        <v>46199</v>
      </c>
      <c r="M35" s="328" t="str">
        <f>IF(Juni!$P34&gt;0,"K",IF(Juni!$Q34&gt;0,"U",IF(Juni!$T34="","",Juni!$T34)))</f>
        <v/>
      </c>
      <c r="N35" s="327">
        <f t="shared" si="6"/>
        <v>46229</v>
      </c>
      <c r="O35" s="328" t="str">
        <f>IF(Juli!$P34&gt;0,"K",IF(Juli!$Q34&gt;0,"U",IF(Juli!$T34="","",Juli!$T34)))</f>
        <v/>
      </c>
      <c r="P35" s="327">
        <f t="shared" si="7"/>
        <v>46260</v>
      </c>
      <c r="Q35" s="328" t="str">
        <f>IF(Aug!$P34&gt;0,"K",IF(Aug!$Q34&gt;0,"U",IF(Aug!$T34="","",Aug!$T34)))</f>
        <v/>
      </c>
      <c r="R35" s="327">
        <f t="shared" si="8"/>
        <v>46291</v>
      </c>
      <c r="S35" s="328" t="str">
        <f>IF(Sept!$P34&gt;0,"K",IF(Sept!$Q34&gt;0,"U",IF(Sept!$T34="","",Sept!$T34)))</f>
        <v/>
      </c>
      <c r="T35" s="327">
        <f t="shared" si="9"/>
        <v>46321</v>
      </c>
      <c r="U35" s="328" t="str">
        <f>IF(Okt!$P34&gt;0,"K",IF(Okt!$Q34&gt;0,"U",IF(Okt!$T34="","",Okt!$T34)))</f>
        <v/>
      </c>
      <c r="V35" s="327">
        <f t="shared" si="10"/>
        <v>46352</v>
      </c>
      <c r="W35" s="328" t="str">
        <f>IF(Nov!$P34&gt;0,"K",IF(Nov!$Q34&gt;0,"U",IF(Nov!$T34="","",Nov!$T34)))</f>
        <v/>
      </c>
      <c r="X35" s="327">
        <f t="shared" si="11"/>
        <v>46382</v>
      </c>
      <c r="Y35" s="333" t="str">
        <f>IF(Dez!$P34&gt;0,"K",IF(Dez!$Q34&gt;0,"U",IF(Dez!$T34="","",Dez!$T34)))</f>
        <v/>
      </c>
    </row>
    <row r="36" spans="1:25" ht="12.4" customHeight="1">
      <c r="A36" s="91"/>
      <c r="B36" s="327">
        <f t="shared" si="0"/>
        <v>46049</v>
      </c>
      <c r="C36" s="328" t="str">
        <f>IF(Jän!$P35&gt;0,"K",IF(Jän!$Q35&gt;0,"U",IF(Jän!$T35="","",Jän!$T35)))</f>
        <v/>
      </c>
      <c r="D36" s="327">
        <f t="shared" si="1"/>
        <v>46080</v>
      </c>
      <c r="E36" s="328" t="str">
        <f>IF(Feb!$P35&gt;0,"K",IF(Feb!$Q35&gt;0,"U",IF(Feb!$T35="","",Feb!$T35)))</f>
        <v/>
      </c>
      <c r="F36" s="327">
        <f t="shared" si="2"/>
        <v>46108</v>
      </c>
      <c r="G36" s="328" t="str">
        <f>IF(März!$P35&gt;0,"K",IF(März!$Q35&gt;0,"U",IF(März!$T35="","",März!$T35)))</f>
        <v/>
      </c>
      <c r="H36" s="327">
        <f t="shared" si="3"/>
        <v>46139</v>
      </c>
      <c r="I36" s="328" t="str">
        <f>IF(April!$P35&gt;0,"K",IF(April!$Q35&gt;0,"U",IF(April!$T35="","",April!$T35)))</f>
        <v/>
      </c>
      <c r="J36" s="327">
        <f t="shared" si="4"/>
        <v>46169</v>
      </c>
      <c r="K36" s="328" t="str">
        <f>IF(Mai!$P35&gt;0,"K",IF(Mai!$Q35&gt;0,"U",IF(Mai!$T35="","",Mai!$T35)))</f>
        <v/>
      </c>
      <c r="L36" s="327">
        <f t="shared" si="5"/>
        <v>46200</v>
      </c>
      <c r="M36" s="328" t="str">
        <f>IF(Juni!$P35&gt;0,"K",IF(Juni!$Q35&gt;0,"U",IF(Juni!$T35="","",Juni!$T35)))</f>
        <v/>
      </c>
      <c r="N36" s="327">
        <f t="shared" si="6"/>
        <v>46230</v>
      </c>
      <c r="O36" s="328" t="str">
        <f>IF(Juli!$P35&gt;0,"K",IF(Juli!$Q35&gt;0,"U",IF(Juli!$T35="","",Juli!$T35)))</f>
        <v/>
      </c>
      <c r="P36" s="327">
        <f t="shared" si="7"/>
        <v>46261</v>
      </c>
      <c r="Q36" s="328" t="str">
        <f>IF(Aug!$P35&gt;0,"K",IF(Aug!$Q35&gt;0,"U",IF(Aug!$T35="","",Aug!$T35)))</f>
        <v/>
      </c>
      <c r="R36" s="327">
        <f t="shared" si="8"/>
        <v>46292</v>
      </c>
      <c r="S36" s="328" t="str">
        <f>IF(Sept!$P35&gt;0,"K",IF(Sept!$Q35&gt;0,"U",IF(Sept!$T35="","",Sept!$T35)))</f>
        <v/>
      </c>
      <c r="T36" s="327">
        <f t="shared" si="9"/>
        <v>46322</v>
      </c>
      <c r="U36" s="328" t="str">
        <f>IF(Okt!$P35&gt;0,"K",IF(Okt!$Q35&gt;0,"U",IF(Okt!$T35="","",Okt!$T35)))</f>
        <v/>
      </c>
      <c r="V36" s="327">
        <f t="shared" si="10"/>
        <v>46353</v>
      </c>
      <c r="W36" s="328" t="str">
        <f>IF(Nov!$P35&gt;0,"K",IF(Nov!$Q35&gt;0,"U",IF(Nov!$T35="","",Nov!$T35)))</f>
        <v/>
      </c>
      <c r="X36" s="327">
        <f t="shared" si="11"/>
        <v>46383</v>
      </c>
      <c r="Y36" s="333" t="str">
        <f>IF(Dez!$P35&gt;0,"K",IF(Dez!$Q35&gt;0,"U",IF(Dez!$T35="","",Dez!$T35)))</f>
        <v/>
      </c>
    </row>
    <row r="37" spans="1:25" ht="12.4" customHeight="1">
      <c r="A37" s="91"/>
      <c r="B37" s="327">
        <f t="shared" si="0"/>
        <v>46050</v>
      </c>
      <c r="C37" s="328" t="str">
        <f>IF(Jän!$P36&gt;0,"K",IF(Jän!$Q36&gt;0,"U",IF(Jän!$T36="","",Jän!$T36)))</f>
        <v/>
      </c>
      <c r="D37" s="327">
        <f t="shared" si="1"/>
        <v>46081</v>
      </c>
      <c r="E37" s="328" t="str">
        <f>IF(Feb!$P36&gt;0,"K",IF(Feb!$Q36&gt;0,"U",IF(Feb!$T36="","",Feb!$T36)))</f>
        <v/>
      </c>
      <c r="F37" s="327">
        <f t="shared" si="2"/>
        <v>46109</v>
      </c>
      <c r="G37" s="328" t="str">
        <f>IF(März!$P36&gt;0,"K",IF(März!$Q36&gt;0,"U",IF(März!$T36="","",März!$T36)))</f>
        <v/>
      </c>
      <c r="H37" s="327">
        <f t="shared" si="3"/>
        <v>46140</v>
      </c>
      <c r="I37" s="328" t="str">
        <f>IF(April!$P36&gt;0,"K",IF(April!$Q36&gt;0,"U",IF(April!$T36="","",April!$T36)))</f>
        <v/>
      </c>
      <c r="J37" s="327">
        <f t="shared" si="4"/>
        <v>46170</v>
      </c>
      <c r="K37" s="328" t="str">
        <f>IF(Mai!$P36&gt;0,"K",IF(Mai!$Q36&gt;0,"U",IF(Mai!$T36="","",Mai!$T36)))</f>
        <v/>
      </c>
      <c r="L37" s="327">
        <f t="shared" si="5"/>
        <v>46201</v>
      </c>
      <c r="M37" s="328" t="str">
        <f>IF(Juni!$P36&gt;0,"K",IF(Juni!$Q36&gt;0,"U",IF(Juni!$T36="","",Juni!$T36)))</f>
        <v/>
      </c>
      <c r="N37" s="327">
        <f t="shared" si="6"/>
        <v>46231</v>
      </c>
      <c r="O37" s="328" t="str">
        <f>IF(Juli!$P36&gt;0,"K",IF(Juli!$Q36&gt;0,"U",IF(Juli!$T36="","",Juli!$T36)))</f>
        <v/>
      </c>
      <c r="P37" s="327">
        <f t="shared" si="7"/>
        <v>46262</v>
      </c>
      <c r="Q37" s="328" t="str">
        <f>IF(Aug!$P36&gt;0,"K",IF(Aug!$Q36&gt;0,"U",IF(Aug!$T36="","",Aug!$T36)))</f>
        <v/>
      </c>
      <c r="R37" s="327">
        <f t="shared" si="8"/>
        <v>46293</v>
      </c>
      <c r="S37" s="328" t="str">
        <f>IF(Sept!$P36&gt;0,"K",IF(Sept!$Q36&gt;0,"U",IF(Sept!$T36="","",Sept!$T36)))</f>
        <v/>
      </c>
      <c r="T37" s="327">
        <f t="shared" si="9"/>
        <v>46323</v>
      </c>
      <c r="U37" s="328" t="str">
        <f>IF(Okt!$P36&gt;0,"K",IF(Okt!$Q36&gt;0,"U",IF(Okt!$T36="","",Okt!$T36)))</f>
        <v/>
      </c>
      <c r="V37" s="327">
        <f t="shared" si="10"/>
        <v>46354</v>
      </c>
      <c r="W37" s="328" t="str">
        <f>IF(Nov!$P36&gt;0,"K",IF(Nov!$Q36&gt;0,"U",IF(Nov!$T36="","",Nov!$T36)))</f>
        <v/>
      </c>
      <c r="X37" s="327">
        <f t="shared" si="11"/>
        <v>46384</v>
      </c>
      <c r="Y37" s="333" t="str">
        <f>IF(Dez!$P36&gt;0,"K",IF(Dez!$Q36&gt;0,"U",IF(Dez!$T36="","",Dez!$T36)))</f>
        <v/>
      </c>
    </row>
    <row r="38" spans="1:25" ht="12.4" customHeight="1">
      <c r="A38" s="91"/>
      <c r="B38" s="327">
        <f t="shared" si="0"/>
        <v>46051</v>
      </c>
      <c r="C38" s="328" t="str">
        <f>IF(Jän!$P37&gt;0,"K",IF(Jän!$Q37&gt;0,"U",IF(Jän!$T37="","",Jän!$T37)))</f>
        <v/>
      </c>
      <c r="D38" s="327" t="str">
        <f>IF(MONTH(D37+1)=MONTH(D37),D37+1,"")</f>
        <v/>
      </c>
      <c r="E38" s="328" t="str">
        <f>IF(Feb!$P37&gt;0,"K",IF(Feb!$Q37&gt;0,"U",IF(Feb!$T37="","",Feb!$T37)))</f>
        <v/>
      </c>
      <c r="F38" s="327">
        <f t="shared" si="2"/>
        <v>46110</v>
      </c>
      <c r="G38" s="328" t="str">
        <f>IF(März!$P37&gt;0,"K",IF(März!$Q37&gt;0,"U",IF(März!$T37="","",März!$T37)))</f>
        <v/>
      </c>
      <c r="H38" s="327">
        <f t="shared" si="3"/>
        <v>46141</v>
      </c>
      <c r="I38" s="328" t="str">
        <f>IF(April!$P37&gt;0,"K",IF(April!$Q37&gt;0,"U",IF(April!$T37="","",April!$T37)))</f>
        <v/>
      </c>
      <c r="J38" s="327">
        <f t="shared" si="4"/>
        <v>46171</v>
      </c>
      <c r="K38" s="328" t="str">
        <f>IF(Mai!$P37&gt;0,"K",IF(Mai!$Q37&gt;0,"U",IF(Mai!$T37="","",Mai!$T37)))</f>
        <v/>
      </c>
      <c r="L38" s="327">
        <f t="shared" si="5"/>
        <v>46202</v>
      </c>
      <c r="M38" s="328" t="str">
        <f>IF(Juni!$P37&gt;0,"K",IF(Juni!$Q37&gt;0,"U",IF(Juni!$T37="","",Juni!$T37)))</f>
        <v/>
      </c>
      <c r="N38" s="327">
        <f t="shared" si="6"/>
        <v>46232</v>
      </c>
      <c r="O38" s="328" t="str">
        <f>IF(Juli!$P37&gt;0,"K",IF(Juli!$Q37&gt;0,"U",IF(Juli!$T37="","",Juli!$T37)))</f>
        <v/>
      </c>
      <c r="P38" s="327">
        <f t="shared" si="7"/>
        <v>46263</v>
      </c>
      <c r="Q38" s="328" t="str">
        <f>IF(Aug!$P37&gt;0,"K",IF(Aug!$Q37&gt;0,"U",IF(Aug!$T37="","",Aug!$T37)))</f>
        <v/>
      </c>
      <c r="R38" s="327">
        <f t="shared" si="8"/>
        <v>46294</v>
      </c>
      <c r="S38" s="328" t="str">
        <f>IF(Sept!$P37&gt;0,"K",IF(Sept!$Q37&gt;0,"U",IF(Sept!$T37="","",Sept!$T37)))</f>
        <v/>
      </c>
      <c r="T38" s="327">
        <f t="shared" si="9"/>
        <v>46324</v>
      </c>
      <c r="U38" s="328" t="str">
        <f>IF(Okt!$P37&gt;0,"K",IF(Okt!$Q37&gt;0,"U",IF(Okt!$T37="","",Okt!$T37)))</f>
        <v/>
      </c>
      <c r="V38" s="327">
        <f t="shared" si="10"/>
        <v>46355</v>
      </c>
      <c r="W38" s="328" t="str">
        <f>IF(Nov!$P37&gt;0,"K",IF(Nov!$Q37&gt;0,"U",IF(Nov!$T37="","",Nov!$T37)))</f>
        <v/>
      </c>
      <c r="X38" s="327">
        <f t="shared" si="11"/>
        <v>46385</v>
      </c>
      <c r="Y38" s="333" t="str">
        <f>IF(Dez!$P37&gt;0,"K",IF(Dez!$Q37&gt;0,"U",IF(Dez!$T37="","",Dez!$T37)))</f>
        <v/>
      </c>
    </row>
    <row r="39" spans="1:25" ht="12.4" customHeight="1">
      <c r="B39" s="327">
        <f t="shared" si="0"/>
        <v>46052</v>
      </c>
      <c r="C39" s="328" t="str">
        <f>IF(Jän!$P38&gt;0,"K",IF(Jän!$Q38&gt;0,"U",IF(Jän!$T38="","",Jän!$T38)))</f>
        <v/>
      </c>
      <c r="D39" s="334"/>
      <c r="E39" s="328"/>
      <c r="F39" s="327">
        <f t="shared" si="2"/>
        <v>46111</v>
      </c>
      <c r="G39" s="328" t="str">
        <f>IF(März!$P38&gt;0,"K",IF(März!$Q38&gt;0,"U",IF(März!$T38="","",März!$T38)))</f>
        <v/>
      </c>
      <c r="H39" s="327">
        <f t="shared" si="3"/>
        <v>46142</v>
      </c>
      <c r="I39" s="328" t="str">
        <f>IF(April!$P38&gt;0,"K",IF(April!$Q38&gt;0,"U",IF(April!$T38="","",April!$T38)))</f>
        <v/>
      </c>
      <c r="J39" s="327">
        <f t="shared" si="4"/>
        <v>46172</v>
      </c>
      <c r="K39" s="328" t="str">
        <f>IF(Mai!$P38&gt;0,"K",IF(Mai!$Q38&gt;0,"U",IF(Mai!$T38="","",Mai!$T38)))</f>
        <v/>
      </c>
      <c r="L39" s="327">
        <f t="shared" si="5"/>
        <v>46203</v>
      </c>
      <c r="M39" s="328" t="str">
        <f>IF(Juni!$P38&gt;0,"K",IF(Juni!$Q38&gt;0,"U",IF(Juni!$T38="","",Juni!$T38)))</f>
        <v/>
      </c>
      <c r="N39" s="327">
        <f t="shared" si="6"/>
        <v>46233</v>
      </c>
      <c r="O39" s="328" t="str">
        <f>IF(Juli!$P38&gt;0,"K",IF(Juli!$Q38&gt;0,"U",IF(Juli!$T38="","",Juli!$T38)))</f>
        <v/>
      </c>
      <c r="P39" s="327">
        <f t="shared" si="7"/>
        <v>46264</v>
      </c>
      <c r="Q39" s="328" t="str">
        <f>IF(Aug!$P38&gt;0,"K",IF(Aug!$Q38&gt;0,"U",IF(Aug!$T38="","",Aug!$T38)))</f>
        <v/>
      </c>
      <c r="R39" s="327">
        <f t="shared" si="8"/>
        <v>46295</v>
      </c>
      <c r="S39" s="328" t="str">
        <f>IF(Sept!$P38&gt;0,"K",IF(Sept!$Q38&gt;0,"U",IF(Sept!$T38="","",Sept!$T38)))</f>
        <v/>
      </c>
      <c r="T39" s="327">
        <f t="shared" si="9"/>
        <v>46325</v>
      </c>
      <c r="U39" s="328" t="str">
        <f>IF(Okt!$P38&gt;0,"K",IF(Okt!$Q38&gt;0,"U",IF(Okt!$T38="","",Okt!$T38)))</f>
        <v/>
      </c>
      <c r="V39" s="327">
        <f t="shared" si="10"/>
        <v>46356</v>
      </c>
      <c r="W39" s="328" t="str">
        <f>IF(Nov!$P38&gt;0,"K",IF(Nov!$Q38&gt;0,"U",IF(Nov!$T38="","",Nov!$T38)))</f>
        <v/>
      </c>
      <c r="X39" s="327">
        <f t="shared" si="11"/>
        <v>46386</v>
      </c>
      <c r="Y39" s="333" t="str">
        <f>IF(Dez!$P38&gt;0,"K",IF(Dez!$Q38&gt;0,"U",IF(Dez!$T38="","",Dez!$T38)))</f>
        <v/>
      </c>
    </row>
    <row r="40" spans="1:25" ht="12.4" customHeight="1">
      <c r="B40" s="335">
        <f t="shared" si="0"/>
        <v>46053</v>
      </c>
      <c r="C40" s="336" t="str">
        <f>IF(Jän!$P39&gt;0,"K",IF(Jän!$Q39&gt;0,"U",IF(Jän!$T39="","",Jän!$T39)))</f>
        <v/>
      </c>
      <c r="D40" s="337"/>
      <c r="E40" s="336"/>
      <c r="F40" s="335">
        <f t="shared" si="2"/>
        <v>46112</v>
      </c>
      <c r="G40" s="336" t="str">
        <f>IF(März!$P39&gt;0,"K",IF(März!$Q39&gt;0,"U",IF(März!$T39="","",März!$T39)))</f>
        <v/>
      </c>
      <c r="H40" s="337"/>
      <c r="I40" s="336"/>
      <c r="J40" s="335">
        <f t="shared" si="4"/>
        <v>46173</v>
      </c>
      <c r="K40" s="336" t="str">
        <f>IF(Mai!$P39&gt;0,"K",IF(Mai!$Q39&gt;0,"U",IF(Mai!$T39="","",Mai!$T39)))</f>
        <v/>
      </c>
      <c r="L40" s="337"/>
      <c r="M40" s="336"/>
      <c r="N40" s="335">
        <f t="shared" si="6"/>
        <v>46234</v>
      </c>
      <c r="O40" s="336" t="str">
        <f>IF(Juli!$P39&gt;0,"K",IF(Juli!$Q39&gt;0,"U",IF(Juli!$T39="","",Juli!$T39)))</f>
        <v/>
      </c>
      <c r="P40" s="335">
        <f t="shared" si="7"/>
        <v>46265</v>
      </c>
      <c r="Q40" s="336" t="str">
        <f>IF(Aug!$P39&gt;0,"K",IF(Aug!$Q39&gt;0,"U",IF(Aug!$T39="","",Aug!$T39)))</f>
        <v/>
      </c>
      <c r="R40" s="337"/>
      <c r="S40" s="336"/>
      <c r="T40" s="335">
        <f t="shared" si="9"/>
        <v>46326</v>
      </c>
      <c r="U40" s="336" t="str">
        <f>IF(Okt!$P39&gt;0,"K",IF(Okt!$Q39&gt;0,"U",IF(Okt!$T39="","",Okt!$T39)))</f>
        <v/>
      </c>
      <c r="V40" s="337"/>
      <c r="W40" s="336"/>
      <c r="X40" s="335">
        <f t="shared" si="11"/>
        <v>46387</v>
      </c>
      <c r="Y40" s="338" t="str">
        <f>IF(Dez!$P39&gt;0,"K",IF(Dez!$Q39&gt;0,"U",IF(Dez!$T39="","",Dez!$T39)))</f>
        <v/>
      </c>
    </row>
  </sheetData>
  <sheetProtection sheet="1" objects="1" scenarios="1" selectLockedCells="1"/>
  <mergeCells count="21">
    <mergeCell ref="P9:Q9"/>
    <mergeCell ref="B9:C9"/>
    <mergeCell ref="D9:E9"/>
    <mergeCell ref="F9:G9"/>
    <mergeCell ref="H9:I9"/>
    <mergeCell ref="X9:Y9"/>
    <mergeCell ref="X7:Y7"/>
    <mergeCell ref="W4:X4"/>
    <mergeCell ref="F6:G6"/>
    <mergeCell ref="L6:M6"/>
    <mergeCell ref="W6:Y6"/>
    <mergeCell ref="K7:L7"/>
    <mergeCell ref="M7:O7"/>
    <mergeCell ref="F7:G7"/>
    <mergeCell ref="P7:Q7"/>
    <mergeCell ref="T9:U9"/>
    <mergeCell ref="V9:W9"/>
    <mergeCell ref="R9:S9"/>
    <mergeCell ref="J9:K9"/>
    <mergeCell ref="L9:M9"/>
    <mergeCell ref="N9:O9"/>
  </mergeCells>
  <phoneticPr fontId="2" type="noConversion"/>
  <conditionalFormatting sqref="C10:C40 E10:E40 G10:G40 I10:I40 K10:K40 M10:M40 O10:O40 Q10:Q40 S10:S40 U10:U40 W10:W40 Y10:Y40">
    <cfRule type="cellIs" dxfId="4" priority="4" stopIfTrue="1" operator="equal">
      <formula>"U"</formula>
    </cfRule>
    <cfRule type="cellIs" dxfId="3" priority="5" stopIfTrue="1" operator="equal">
      <formula>"K"</formula>
    </cfRule>
  </conditionalFormatting>
  <conditionalFormatting sqref="D10:D38 H10:H39 L10:L39 R10:R39 V10:V39 B10:B40 F10:F40 J10:J40 N10:N40 P10:P40 T10:T40 X10:X40">
    <cfRule type="expression" dxfId="2" priority="1" stopIfTrue="1">
      <formula>MATCH(B10,$A$10:$A$29,0)</formula>
    </cfRule>
    <cfRule type="expression" dxfId="1" priority="2" stopIfTrue="1">
      <formula>WEEKDAY(B10)=1</formula>
    </cfRule>
    <cfRule type="expression" dxfId="0" priority="3" stopIfTrue="1">
      <formula>WEEKDAY(B10)=7</formula>
    </cfRule>
  </conditionalFormatting>
  <pageMargins left="0.59027777777777779" right="0.39374999999999999" top="0.59027777777777779" bottom="0.51180555555555551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3"/>
  <sheetViews>
    <sheetView showGridLines="0" workbookViewId="0">
      <selection activeCell="A14" sqref="A13:A14"/>
    </sheetView>
  </sheetViews>
  <sheetFormatPr baseColWidth="10" defaultColWidth="11.42578125" defaultRowHeight="12.75"/>
  <cols>
    <col min="1" max="1" width="174.5703125" customWidth="1"/>
  </cols>
  <sheetData>
    <row r="1" spans="1:1" ht="15.75">
      <c r="A1" s="362" t="s">
        <v>80</v>
      </c>
    </row>
    <row r="2" spans="1:1" s="71" customFormat="1" ht="15">
      <c r="A2" s="71" t="s">
        <v>236</v>
      </c>
    </row>
    <row r="3" spans="1:1">
      <c r="A3" s="42"/>
    </row>
    <row r="4" spans="1:1" s="42" customFormat="1">
      <c r="A4" s="107" t="s">
        <v>81</v>
      </c>
    </row>
    <row r="5" spans="1:1">
      <c r="A5" s="109" t="s">
        <v>82</v>
      </c>
    </row>
    <row r="6" spans="1:1">
      <c r="A6" s="109" t="s">
        <v>83</v>
      </c>
    </row>
    <row r="7" spans="1:1">
      <c r="A7" s="109" t="s">
        <v>84</v>
      </c>
    </row>
    <row r="8" spans="1:1">
      <c r="A8" s="109" t="s">
        <v>85</v>
      </c>
    </row>
    <row r="9" spans="1:1">
      <c r="A9" s="109" t="s">
        <v>86</v>
      </c>
    </row>
    <row r="10" spans="1:1">
      <c r="A10" s="109" t="s">
        <v>210</v>
      </c>
    </row>
    <row r="11" spans="1:1">
      <c r="A11" s="109"/>
    </row>
    <row r="12" spans="1:1">
      <c r="A12" s="110" t="s">
        <v>211</v>
      </c>
    </row>
    <row r="13" spans="1:1">
      <c r="A13" s="361" t="s">
        <v>212</v>
      </c>
    </row>
    <row r="14" spans="1:1" s="42" customFormat="1">
      <c r="A14" s="360" t="s">
        <v>225</v>
      </c>
    </row>
    <row r="15" spans="1:1" s="42" customFormat="1">
      <c r="A15" s="360" t="s">
        <v>226</v>
      </c>
    </row>
    <row r="16" spans="1:1" s="42" customFormat="1">
      <c r="A16" s="360"/>
    </row>
    <row r="17" spans="1:9">
      <c r="A17" s="112" t="s">
        <v>87</v>
      </c>
    </row>
    <row r="18" spans="1:9">
      <c r="A18" s="109" t="s">
        <v>213</v>
      </c>
    </row>
    <row r="19" spans="1:9">
      <c r="A19" s="109" t="s">
        <v>214</v>
      </c>
    </row>
    <row r="20" spans="1:9">
      <c r="A20" s="109" t="s">
        <v>227</v>
      </c>
    </row>
    <row r="21" spans="1:9">
      <c r="A21" s="109" t="s">
        <v>228</v>
      </c>
    </row>
    <row r="22" spans="1:9">
      <c r="A22" s="109" t="s">
        <v>229</v>
      </c>
    </row>
    <row r="23" spans="1:9">
      <c r="A23" s="109"/>
    </row>
    <row r="24" spans="1:9">
      <c r="A24" s="109" t="s">
        <v>89</v>
      </c>
    </row>
    <row r="25" spans="1:9">
      <c r="A25" s="109" t="s">
        <v>215</v>
      </c>
    </row>
    <row r="26" spans="1:9">
      <c r="A26" s="109" t="s">
        <v>90</v>
      </c>
      <c r="C26" s="111"/>
      <c r="E26" s="111"/>
      <c r="G26" s="111"/>
      <c r="I26" s="111"/>
    </row>
    <row r="28" spans="1:9">
      <c r="A28" s="112" t="s">
        <v>91</v>
      </c>
    </row>
    <row r="29" spans="1:9">
      <c r="A29" s="109" t="s">
        <v>92</v>
      </c>
    </row>
    <row r="30" spans="1:9">
      <c r="A30" s="109" t="s">
        <v>93</v>
      </c>
    </row>
    <row r="31" spans="1:9">
      <c r="A31" s="109"/>
    </row>
    <row r="32" spans="1:9">
      <c r="A32" s="108" t="s">
        <v>216</v>
      </c>
    </row>
    <row r="33" spans="1:1">
      <c r="A33" s="109" t="s">
        <v>230</v>
      </c>
    </row>
    <row r="34" spans="1:1">
      <c r="A34" s="109" t="s">
        <v>231</v>
      </c>
    </row>
    <row r="35" spans="1:1">
      <c r="A35" s="109"/>
    </row>
    <row r="36" spans="1:1">
      <c r="A36" s="112" t="s">
        <v>217</v>
      </c>
    </row>
    <row r="37" spans="1:1">
      <c r="A37" s="109" t="s">
        <v>213</v>
      </c>
    </row>
    <row r="38" spans="1:1">
      <c r="A38" s="109" t="s">
        <v>218</v>
      </c>
    </row>
    <row r="39" spans="1:1">
      <c r="A39" s="109" t="s">
        <v>219</v>
      </c>
    </row>
    <row r="40" spans="1:1">
      <c r="A40" s="109" t="s">
        <v>220</v>
      </c>
    </row>
    <row r="42" spans="1:1">
      <c r="A42" s="112" t="s">
        <v>91</v>
      </c>
    </row>
    <row r="43" spans="1:1">
      <c r="A43" s="109" t="s">
        <v>92</v>
      </c>
    </row>
    <row r="44" spans="1:1">
      <c r="A44" s="109" t="s">
        <v>93</v>
      </c>
    </row>
    <row r="45" spans="1:1">
      <c r="A45" s="359"/>
    </row>
    <row r="46" spans="1:1">
      <c r="A46" s="108" t="s">
        <v>221</v>
      </c>
    </row>
    <row r="47" spans="1:1">
      <c r="A47" s="112" t="s">
        <v>222</v>
      </c>
    </row>
    <row r="48" spans="1:1">
      <c r="A48" s="109" t="s">
        <v>232</v>
      </c>
    </row>
    <row r="49" spans="1:1">
      <c r="A49" s="109" t="s">
        <v>233</v>
      </c>
    </row>
    <row r="50" spans="1:1">
      <c r="A50" s="109"/>
    </row>
    <row r="51" spans="1:1">
      <c r="A51" s="112" t="s">
        <v>87</v>
      </c>
    </row>
    <row r="52" spans="1:1">
      <c r="A52" s="109" t="s">
        <v>223</v>
      </c>
    </row>
    <row r="53" spans="1:1">
      <c r="A53" s="109" t="s">
        <v>88</v>
      </c>
    </row>
    <row r="54" spans="1:1">
      <c r="A54" s="109" t="s">
        <v>234</v>
      </c>
    </row>
    <row r="55" spans="1:1">
      <c r="A55" s="109" t="s">
        <v>235</v>
      </c>
    </row>
    <row r="56" spans="1:1">
      <c r="A56" s="109"/>
    </row>
    <row r="57" spans="1:1">
      <c r="A57" s="109" t="s">
        <v>89</v>
      </c>
    </row>
    <row r="58" spans="1:1">
      <c r="A58" s="109" t="s">
        <v>215</v>
      </c>
    </row>
    <row r="59" spans="1:1">
      <c r="A59" s="109" t="s">
        <v>90</v>
      </c>
    </row>
    <row r="61" spans="1:1">
      <c r="A61" s="112" t="s">
        <v>91</v>
      </c>
    </row>
    <row r="62" spans="1:1">
      <c r="A62" s="109" t="s">
        <v>92</v>
      </c>
    </row>
    <row r="63" spans="1:1">
      <c r="A63" s="109" t="s">
        <v>93</v>
      </c>
    </row>
    <row r="64" spans="1:1">
      <c r="A64" s="112"/>
    </row>
    <row r="65" spans="1:1">
      <c r="A65" s="110" t="s">
        <v>94</v>
      </c>
    </row>
    <row r="66" spans="1:1">
      <c r="A66" s="109" t="s">
        <v>95</v>
      </c>
    </row>
    <row r="67" spans="1:1">
      <c r="A67" s="109" t="s">
        <v>224</v>
      </c>
    </row>
    <row r="68" spans="1:1">
      <c r="A68" s="112"/>
    </row>
    <row r="69" spans="1:1">
      <c r="A69" s="110" t="s">
        <v>96</v>
      </c>
    </row>
    <row r="70" spans="1:1">
      <c r="A70" s="112" t="s">
        <v>97</v>
      </c>
    </row>
    <row r="71" spans="1:1">
      <c r="A71" s="112" t="s">
        <v>98</v>
      </c>
    </row>
    <row r="72" spans="1:1">
      <c r="A72" s="112" t="s">
        <v>99</v>
      </c>
    </row>
    <row r="73" spans="1:1">
      <c r="A73" s="112" t="s">
        <v>100</v>
      </c>
    </row>
  </sheetData>
  <sheetProtection sheet="1" objects="1" scenarios="1" selectLockedCells="1"/>
  <phoneticPr fontId="2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1"/>
  <sheetViews>
    <sheetView showGridLines="0" workbookViewId="0">
      <selection activeCell="I50" sqref="I50"/>
    </sheetView>
  </sheetViews>
  <sheetFormatPr baseColWidth="10" defaultColWidth="11.42578125" defaultRowHeight="12.75"/>
  <cols>
    <col min="1" max="1" width="3.42578125" customWidth="1"/>
    <col min="2" max="2" width="12.7109375" customWidth="1"/>
    <col min="3" max="3" width="2.5703125" customWidth="1"/>
    <col min="4" max="4" width="14.140625" customWidth="1"/>
    <col min="5" max="5" width="12.7109375" customWidth="1"/>
    <col min="6" max="6" width="11.5703125" customWidth="1"/>
    <col min="7" max="7" width="2.5703125" customWidth="1"/>
    <col min="8" max="8" width="7.7109375" customWidth="1"/>
    <col min="9" max="9" width="18.28515625" customWidth="1"/>
    <col min="10" max="10" width="3.7109375" customWidth="1"/>
  </cols>
  <sheetData>
    <row r="1" spans="2:9" ht="20.25">
      <c r="B1" s="113" t="s">
        <v>101</v>
      </c>
      <c r="C1" s="114"/>
      <c r="D1" s="114"/>
      <c r="F1" s="114"/>
      <c r="G1" s="114"/>
    </row>
    <row r="2" spans="2:9">
      <c r="B2" s="42" t="s">
        <v>102</v>
      </c>
    </row>
    <row r="3" spans="2:9" ht="15.95" customHeight="1">
      <c r="B3" s="115"/>
      <c r="C3" s="88"/>
      <c r="D3" s="88"/>
      <c r="E3" s="88"/>
      <c r="F3" s="88"/>
      <c r="G3" s="88"/>
      <c r="H3" s="88"/>
      <c r="I3" s="88"/>
    </row>
    <row r="6" spans="2:9">
      <c r="B6" s="116" t="s">
        <v>103</v>
      </c>
      <c r="C6" s="117" t="s">
        <v>104</v>
      </c>
      <c r="D6" t="s">
        <v>105</v>
      </c>
      <c r="F6" s="118" t="s">
        <v>106</v>
      </c>
      <c r="G6" s="117"/>
      <c r="H6" t="s">
        <v>107</v>
      </c>
    </row>
    <row r="7" spans="2:9" ht="8.1" customHeight="1">
      <c r="C7" s="26"/>
      <c r="G7" s="26"/>
    </row>
    <row r="8" spans="2:9">
      <c r="C8" s="117"/>
      <c r="D8" t="s">
        <v>108</v>
      </c>
      <c r="G8" s="117"/>
      <c r="H8" t="s">
        <v>109</v>
      </c>
    </row>
    <row r="9" spans="2:9" ht="8.1" customHeight="1">
      <c r="C9" s="26"/>
      <c r="G9" s="26"/>
    </row>
    <row r="10" spans="2:9">
      <c r="C10" s="117"/>
      <c r="D10" t="s">
        <v>110</v>
      </c>
      <c r="G10" s="117"/>
      <c r="H10" t="s">
        <v>111</v>
      </c>
    </row>
    <row r="11" spans="2:9" ht="35.1" customHeight="1">
      <c r="B11" t="s">
        <v>112</v>
      </c>
      <c r="C11" s="42"/>
      <c r="D11" s="71" t="str">
        <f>Datenblatt!$D$7</f>
        <v>Vorname Familienname</v>
      </c>
      <c r="F11" s="71"/>
      <c r="G11" s="42"/>
    </row>
    <row r="12" spans="2:9" s="2" customFormat="1" ht="20.100000000000001" customHeight="1">
      <c r="B12" s="2" t="s">
        <v>4</v>
      </c>
      <c r="D12" s="119" t="str">
        <f>Datenblatt!A2</f>
        <v>Bezeichnung der Dienststelle</v>
      </c>
      <c r="F12" s="119"/>
    </row>
    <row r="14" spans="2:9" ht="15" customHeight="1">
      <c r="B14" t="s">
        <v>113</v>
      </c>
      <c r="C14" s="42"/>
      <c r="D14" s="392"/>
      <c r="E14" s="392"/>
      <c r="F14" s="94" t="s">
        <v>115</v>
      </c>
      <c r="G14" s="42"/>
      <c r="H14" s="392"/>
      <c r="I14" s="392"/>
    </row>
    <row r="15" spans="2:9" ht="15" customHeight="1"/>
    <row r="16" spans="2:9" ht="15" customHeight="1">
      <c r="B16" t="s">
        <v>116</v>
      </c>
      <c r="E16" s="120"/>
      <c r="F16" t="s">
        <v>117</v>
      </c>
    </row>
    <row r="17" spans="1:10" ht="15" customHeight="1"/>
    <row r="18" spans="1:10" ht="15" customHeight="1">
      <c r="B18" t="str">
        <f>"Verbleibender Urlaubsanspruch für "&amp;Datenblatt!F$5&amp;":"</f>
        <v>Verbleibender Urlaubsanspruch für 2026:</v>
      </c>
      <c r="F18" s="121"/>
      <c r="G18" t="s">
        <v>118</v>
      </c>
    </row>
    <row r="19" spans="1:10" ht="15" customHeight="1">
      <c r="B19" s="122"/>
      <c r="D19" s="123"/>
    </row>
    <row r="20" spans="1:10" ht="15" customHeight="1"/>
    <row r="21" spans="1:10" ht="15" customHeight="1"/>
    <row r="22" spans="1:10" ht="15" customHeight="1">
      <c r="B22" s="88"/>
      <c r="C22" s="88"/>
      <c r="D22" s="88"/>
      <c r="E22" s="88"/>
      <c r="G22" s="88"/>
      <c r="H22" s="88"/>
      <c r="I22" s="88"/>
    </row>
    <row r="23" spans="1:10" s="2" customFormat="1" ht="15" customHeight="1">
      <c r="B23" s="393" t="s">
        <v>119</v>
      </c>
      <c r="C23" s="393"/>
      <c r="D23" s="393"/>
      <c r="E23" s="2" t="s">
        <v>120</v>
      </c>
      <c r="F23" s="123"/>
      <c r="G23" s="394" t="s">
        <v>247</v>
      </c>
      <c r="H23" s="394"/>
      <c r="I23" s="81" t="s">
        <v>121</v>
      </c>
    </row>
    <row r="24" spans="1:10" ht="12" customHeight="1">
      <c r="B24" s="393" t="s">
        <v>122</v>
      </c>
      <c r="C24" s="393"/>
      <c r="D24" s="393"/>
    </row>
    <row r="25" spans="1:10" ht="15" customHeight="1">
      <c r="B25" s="66"/>
      <c r="C25" s="66"/>
      <c r="D25" s="66"/>
    </row>
    <row r="26" spans="1:10" ht="15" customHeight="1">
      <c r="A26" s="88"/>
      <c r="B26" s="88"/>
      <c r="C26" s="88"/>
      <c r="D26" s="88"/>
      <c r="E26" s="88"/>
      <c r="F26" s="88"/>
      <c r="G26" s="88"/>
      <c r="H26" s="88"/>
      <c r="I26" s="88"/>
      <c r="J26" s="88"/>
    </row>
    <row r="27" spans="1:10">
      <c r="A27" s="124" t="s">
        <v>123</v>
      </c>
    </row>
    <row r="28" spans="1:10" ht="20.25">
      <c r="B28" s="125" t="str">
        <f>"  Kopie dieser Meldung für "&amp;D11</f>
        <v xml:space="preserve">  Kopie dieser Meldung für Vorname Familienname</v>
      </c>
      <c r="C28" s="126"/>
      <c r="D28" s="126"/>
      <c r="E28" s="12"/>
      <c r="F28" s="126"/>
      <c r="G28" s="126"/>
      <c r="H28" s="12"/>
    </row>
    <row r="29" spans="1:10">
      <c r="B29" s="42"/>
    </row>
    <row r="30" spans="1:10" ht="15.95" customHeight="1">
      <c r="B30" s="115"/>
      <c r="C30" s="88"/>
      <c r="D30" s="88"/>
      <c r="E30" s="88"/>
      <c r="F30" s="88"/>
      <c r="G30" s="88"/>
      <c r="H30" s="88"/>
      <c r="I30" s="88"/>
    </row>
    <row r="33" spans="2:9">
      <c r="B33" s="116" t="s">
        <v>103</v>
      </c>
      <c r="C33" s="127" t="str">
        <f>IF((C6=0),"",(C6))</f>
        <v>X</v>
      </c>
      <c r="D33" t="s">
        <v>105</v>
      </c>
      <c r="F33" s="118" t="s">
        <v>106</v>
      </c>
      <c r="G33" s="127" t="str">
        <f>IF((G6=0),"",(G6))</f>
        <v/>
      </c>
      <c r="H33" t="s">
        <v>107</v>
      </c>
    </row>
    <row r="34" spans="2:9" ht="8.1" customHeight="1">
      <c r="C34" s="26"/>
      <c r="G34" s="26"/>
    </row>
    <row r="35" spans="2:9">
      <c r="C35" s="117" t="str">
        <f>IF((C8=0),"",(C8))</f>
        <v/>
      </c>
      <c r="D35" t="s">
        <v>108</v>
      </c>
      <c r="G35" s="127" t="str">
        <f>IF((G8=0),"",(G8))</f>
        <v/>
      </c>
      <c r="H35" t="s">
        <v>109</v>
      </c>
    </row>
    <row r="36" spans="2:9" ht="8.1" customHeight="1">
      <c r="C36" s="26"/>
      <c r="G36" s="26"/>
    </row>
    <row r="37" spans="2:9">
      <c r="C37" s="117" t="str">
        <f>IF((C10=0),"",(C10))</f>
        <v/>
      </c>
      <c r="D37" t="s">
        <v>110</v>
      </c>
      <c r="G37" s="127" t="str">
        <f>IF((G10=0),"",(G10))</f>
        <v/>
      </c>
      <c r="H37" t="s">
        <v>111</v>
      </c>
    </row>
    <row r="38" spans="2:9" ht="35.1" customHeight="1">
      <c r="B38" t="s">
        <v>112</v>
      </c>
      <c r="C38" s="42"/>
      <c r="D38" s="71" t="str">
        <f>D11</f>
        <v>Vorname Familienname</v>
      </c>
      <c r="F38" s="71"/>
      <c r="G38" s="42"/>
    </row>
    <row r="39" spans="2:9" s="2" customFormat="1" ht="20.100000000000001" customHeight="1">
      <c r="B39" s="2" t="s">
        <v>4</v>
      </c>
      <c r="D39" s="119" t="str">
        <f>D12</f>
        <v>Bezeichnung der Dienststelle</v>
      </c>
      <c r="F39" s="119"/>
    </row>
    <row r="40" spans="2:9" ht="15" customHeight="1"/>
    <row r="41" spans="2:9">
      <c r="B41" t="s">
        <v>113</v>
      </c>
      <c r="C41" s="42"/>
      <c r="D41" s="395"/>
      <c r="E41" s="395"/>
      <c r="F41" s="94" t="s">
        <v>115</v>
      </c>
      <c r="G41" s="42"/>
      <c r="H41" s="395"/>
      <c r="I41" s="395"/>
    </row>
    <row r="43" spans="2:9" ht="15" customHeight="1">
      <c r="B43" t="s">
        <v>116</v>
      </c>
      <c r="E43" s="128"/>
      <c r="F43" t="s">
        <v>124</v>
      </c>
    </row>
    <row r="44" spans="2:9" ht="15" customHeight="1"/>
    <row r="45" spans="2:9">
      <c r="B45" t="str">
        <f>"Verbleibender Urlaubsanspruch für "&amp;Datenblatt!F$5&amp;":"</f>
        <v>Verbleibender Urlaubsanspruch für 2026:</v>
      </c>
      <c r="F45" s="121"/>
      <c r="G45" t="s">
        <v>124</v>
      </c>
    </row>
    <row r="46" spans="2:9">
      <c r="B46" s="122"/>
      <c r="D46" s="123"/>
    </row>
    <row r="49" spans="2:9" ht="15" customHeight="1">
      <c r="B49" s="88"/>
      <c r="C49" s="88"/>
      <c r="D49" s="88"/>
      <c r="E49" s="88"/>
      <c r="G49" s="88"/>
      <c r="H49" s="88"/>
      <c r="I49" s="88"/>
    </row>
    <row r="50" spans="2:9">
      <c r="B50" s="396" t="s">
        <v>119</v>
      </c>
      <c r="C50" s="396"/>
      <c r="D50" s="396"/>
      <c r="E50" s="2" t="s">
        <v>120</v>
      </c>
      <c r="F50" s="123"/>
      <c r="G50" s="397" t="s">
        <v>247</v>
      </c>
      <c r="H50" s="397"/>
      <c r="I50" s="81" t="s">
        <v>121</v>
      </c>
    </row>
    <row r="51" spans="2:9">
      <c r="B51" s="393" t="s">
        <v>122</v>
      </c>
      <c r="C51" s="393"/>
      <c r="D51" s="393"/>
    </row>
  </sheetData>
  <sheetProtection selectLockedCells="1"/>
  <mergeCells count="10">
    <mergeCell ref="D14:E14"/>
    <mergeCell ref="H14:I14"/>
    <mergeCell ref="B23:D23"/>
    <mergeCell ref="G23:H23"/>
    <mergeCell ref="B51:D51"/>
    <mergeCell ref="B24:D24"/>
    <mergeCell ref="D41:E41"/>
    <mergeCell ref="H41:I41"/>
    <mergeCell ref="B50:D50"/>
    <mergeCell ref="G50:H50"/>
  </mergeCells>
  <phoneticPr fontId="2" type="noConversion"/>
  <pageMargins left="0.78749999999999998" right="0.59027777777777779" top="0.59027777777777779" bottom="0.5118055555555555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X48"/>
  <sheetViews>
    <sheetView showGridLines="0" workbookViewId="0">
      <pane ySplit="8" topLeftCell="A9" activePane="bottomLeft" state="frozen"/>
      <selection activeCell="Z45" sqref="Z45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" style="94" customWidth="1"/>
    <col min="4" max="4" width="0.28515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399">
        <f>DATE(Datenblatt!F5,1,1)</f>
        <v>46023</v>
      </c>
      <c r="M2" s="399"/>
      <c r="N2" s="399"/>
      <c r="O2" s="399"/>
      <c r="P2" s="399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"&amp;Datenblatt!$K$33&amp;";"&amp;"    Di: "&amp;Datenblatt!$K$34&amp;";"&amp;"    Mi: "&amp;Datenblatt!$K$35&amp;";"&amp;"    Do: "&amp;Datenblatt!$K$36&amp;";"&amp;"    Fr: "&amp;Datenblatt!$K$37&amp;";"&amp;"    Sa: "&amp;Datenblatt!$K$38&amp;";"&amp;"    So: "&amp;Datenblatt!$K$39&amp;" "&amp;"     -    Wochenarbeitszeit:  "&amp;Datenblatt!$K$40&amp;" "</f>
        <v xml:space="preserve">Arbeitsstunden/Tag:  Mo: 8;    Di: 8;    Mi: 8;    Do: 8;    Fr: 8;    Sa: 0;    So: 0      -    Wochenarbeitszeit:  40 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00">
        <f>Datenblatt!D11</f>
        <v>0</v>
      </c>
      <c r="U4" s="400"/>
      <c r="V4" s="147"/>
      <c r="W4" s="148" t="str">
        <f>"Urlaubsanspruch per 01.01."&amp;Datenblatt!$F$5</f>
        <v>Urlaubsanspruch per 01.01.2026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01" t="s">
        <v>238</v>
      </c>
      <c r="U5" s="401"/>
      <c r="V5" s="147"/>
      <c r="W5" s="149" t="str">
        <f>"Resturlaub per 31.01."&amp;Datenblatt!$F$5</f>
        <v>Resturlaub per 31.01.2026</v>
      </c>
      <c r="X5" s="130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408" t="s">
        <v>126</v>
      </c>
      <c r="G7" s="408"/>
      <c r="H7" s="402" t="s">
        <v>127</v>
      </c>
      <c r="I7" s="402"/>
      <c r="J7" s="402"/>
      <c r="K7" s="402"/>
      <c r="L7" s="402"/>
      <c r="M7" s="402"/>
      <c r="N7" s="403" t="s">
        <v>128</v>
      </c>
      <c r="O7" s="403"/>
      <c r="P7" s="404" t="s">
        <v>129</v>
      </c>
      <c r="Q7" s="405" t="s">
        <v>130</v>
      </c>
      <c r="R7" s="150" t="s">
        <v>131</v>
      </c>
      <c r="S7" s="409" t="s">
        <v>132</v>
      </c>
      <c r="T7" s="151" t="s">
        <v>133</v>
      </c>
      <c r="U7" s="152"/>
      <c r="V7" s="350"/>
      <c r="W7" s="406" t="s">
        <v>134</v>
      </c>
      <c r="X7" s="410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04"/>
      <c r="Q8" s="405"/>
      <c r="R8" s="158" t="s">
        <v>138</v>
      </c>
      <c r="S8" s="409"/>
      <c r="T8" s="159" t="s">
        <v>138</v>
      </c>
      <c r="U8" s="160"/>
      <c r="V8" s="351"/>
      <c r="W8" s="407"/>
      <c r="X8" s="411"/>
    </row>
    <row r="9" spans="2:128" s="161" customFormat="1" ht="12.2" customHeight="1">
      <c r="B9" s="162">
        <f>L2</f>
        <v>46023</v>
      </c>
      <c r="C9" s="163">
        <f t="shared" ref="C9:C39" si="0">B9</f>
        <v>46023</v>
      </c>
      <c r="D9" s="164">
        <f>IF(VLOOKUP($B9,Datenblatt!$A$43:$A$65,1,1)=$B9,0,VLOOKUP(WEEKDAY($B9),Datenblatt!$I$33:$K$39,3,FALSE))</f>
        <v>0</v>
      </c>
      <c r="E9" s="164">
        <f>IF(VLOOKUP($B9,Datenblatt!$A$43:$A$65,1,1)=$B9,0,IF(WEEKDAY($B9)=7,1,IF(WEEKDAY($B9)=1,0,2)))</f>
        <v>0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3" t="str">
        <f>IF(VLOOKUP($B9,Datenblatt!$A$43:$A$66,1,1)=$B9,VLOOKUP($B9,Datenblatt!$A$43:$C$66,3,FALSE)," ")</f>
        <v>Neujahr</v>
      </c>
      <c r="W9" s="414"/>
      <c r="X9" s="41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9" si="4">B9+1</f>
        <v>46024</v>
      </c>
      <c r="C10" s="163">
        <f t="shared" si="0"/>
        <v>46024</v>
      </c>
      <c r="D10" s="164">
        <f>IF(VLOOKUP($B10,Datenblatt!$A$43:$A$65,1,1)=$B10,0,VLOOKUP(WEEKDAY($B10),Datenblatt!$I$33:$K$39,3,FALSE))</f>
        <v>8</v>
      </c>
      <c r="E10" s="164">
        <f>IF(VLOOKUP($B10,Datenblatt!$A$43:$A$65,1,1)=$B10,0,IF(WEEKDAY($B10)=7,1,IF(WEEKDAY($B10)=1,0,2)))</f>
        <v>2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 xml:space="preserve"> </v>
      </c>
      <c r="W10" s="379"/>
      <c r="X10" s="380"/>
    </row>
    <row r="11" spans="2:128" ht="12.2" customHeight="1">
      <c r="B11" s="162">
        <f t="shared" si="4"/>
        <v>46025</v>
      </c>
      <c r="C11" s="163">
        <f t="shared" si="0"/>
        <v>46025</v>
      </c>
      <c r="D11" s="164">
        <f>IF(VLOOKUP($B11,Datenblatt!$A$43:$A$65,1,1)=$B11,0,VLOOKUP(WEEKDAY($B11),Datenblatt!$I$33:$K$39,3,FALSE))</f>
        <v>0</v>
      </c>
      <c r="E11" s="164">
        <f>IF(VLOOKUP($B11,Datenblatt!$A$43:$A$65,1,1)=$B11,0,IF(WEEKDAY($B11)=7,1,IF(WEEKDAY($B11)=1,0,2)))</f>
        <v>1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416" t="str">
        <f>IF(VLOOKUP($B11,Datenblatt!$A$43:$A$66,1,1)=$B11,VLOOKUP($B11,Datenblatt!$A$43:$C$66,3,FALSE)," ")</f>
        <v xml:space="preserve"> </v>
      </c>
      <c r="W11" s="417"/>
      <c r="X11" s="418"/>
      <c r="AA11" s="179"/>
    </row>
    <row r="12" spans="2:128" ht="12.2" customHeight="1">
      <c r="B12" s="162">
        <f t="shared" si="4"/>
        <v>46026</v>
      </c>
      <c r="C12" s="163">
        <f t="shared" si="0"/>
        <v>46026</v>
      </c>
      <c r="D12" s="164">
        <f>IF(VLOOKUP($B12,Datenblatt!$A$43:$A$65,1,1)=$B12,0,VLOOKUP(WEEKDAY($B12),Datenblatt!$I$33:$K$39,3,FALSE))</f>
        <v>0</v>
      </c>
      <c r="E12" s="164">
        <f>IF(VLOOKUP($B12,Datenblatt!$A$43:$A$65,1,1)=$B12,0,IF(WEEKDAY($B12)=7,1,IF(WEEKDAY($B12)=1,0,2)))</f>
        <v>0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416" t="str">
        <f>IF(VLOOKUP($B12,Datenblatt!$A$43:$A$66,1,1)=$B12,VLOOKUP($B12,Datenblatt!$A$43:$C$66,3,FALSE)," ")</f>
        <v xml:space="preserve"> </v>
      </c>
      <c r="W12" s="417"/>
      <c r="X12" s="418"/>
      <c r="AA12" s="179"/>
    </row>
    <row r="13" spans="2:128" s="161" customFormat="1" ht="12.2" customHeight="1">
      <c r="B13" s="162">
        <f t="shared" si="4"/>
        <v>46027</v>
      </c>
      <c r="C13" s="163">
        <f t="shared" si="0"/>
        <v>46027</v>
      </c>
      <c r="D13" s="164">
        <f>IF(VLOOKUP($B13,Datenblatt!$A$43:$A$65,1,1)=$B13,0,VLOOKUP(WEEKDAY($B13),Datenblatt!$I$33:$K$39,3,FALSE))</f>
        <v>8</v>
      </c>
      <c r="E13" s="164">
        <f>IF(VLOOKUP($B13,Datenblatt!$A$43:$A$65,1,1)=$B13,0,IF(WEEKDAY($B13)=7,1,IF(WEEKDAY($B13)=1,0,2)))</f>
        <v>2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416" t="str">
        <f>IF(VLOOKUP($B13,Datenblatt!$A$43:$A$66,1,1)=$B13,VLOOKUP($B13,Datenblatt!$A$43:$C$66,3,FALSE)," ")</f>
        <v xml:space="preserve"> </v>
      </c>
      <c r="W13" s="417"/>
      <c r="X13" s="418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46028</v>
      </c>
      <c r="C14" s="163">
        <f t="shared" si="0"/>
        <v>46028</v>
      </c>
      <c r="D14" s="164">
        <f>IF(VLOOKUP($B14,Datenblatt!$A$43:$A$65,1,1)=$B14,0,VLOOKUP(WEEKDAY($B14),Datenblatt!$I$33:$K$39,3,FALSE))</f>
        <v>0</v>
      </c>
      <c r="E14" s="164">
        <f>IF(VLOOKUP($B14,Datenblatt!$A$43:$A$65,1,1)=$B14,0,IF(WEEKDAY($B14)=7,1,IF(WEEKDAY($B14)=1,0,2)))</f>
        <v>0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416" t="str">
        <f>IF(VLOOKUP($B14,Datenblatt!$A$43:$A$66,1,1)=$B14,VLOOKUP($B14,Datenblatt!$A$43:$C$66,3,FALSE)," ")</f>
        <v>Hl. drei Könige</v>
      </c>
      <c r="W14" s="417"/>
      <c r="X14" s="418"/>
      <c r="AA14" s="179"/>
    </row>
    <row r="15" spans="2:128" ht="12.2" customHeight="1">
      <c r="B15" s="162">
        <f t="shared" si="4"/>
        <v>46029</v>
      </c>
      <c r="C15" s="163">
        <f t="shared" si="0"/>
        <v>46029</v>
      </c>
      <c r="D15" s="164">
        <f>IF(VLOOKUP($B15,Datenblatt!$A$43:$A$65,1,1)=$B15,0,VLOOKUP(WEEKDAY($B15),Datenblatt!$I$33:$K$39,3,FALSE))</f>
        <v>8</v>
      </c>
      <c r="E15" s="164">
        <f>IF(VLOOKUP($B15,Datenblatt!$A$43:$A$65,1,1)=$B15,0,IF(WEEKDAY($B15)=7,1,IF(WEEKDAY($B15)=1,0,2)))</f>
        <v>2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416" t="str">
        <f>IF(VLOOKUP($B15,Datenblatt!$A$43:$A$66,1,1)=$B15,VLOOKUP($B15,Datenblatt!$A$43:$C$66,3,FALSE)," ")</f>
        <v xml:space="preserve"> </v>
      </c>
      <c r="W15" s="417"/>
      <c r="X15" s="418"/>
      <c r="AA15" s="179"/>
    </row>
    <row r="16" spans="2:128" ht="12.2" customHeight="1">
      <c r="B16" s="162">
        <f t="shared" si="4"/>
        <v>46030</v>
      </c>
      <c r="C16" s="163">
        <f t="shared" si="0"/>
        <v>46030</v>
      </c>
      <c r="D16" s="164">
        <f>IF(VLOOKUP($B16,Datenblatt!$A$43:$A$65,1,1)=$B16,0,VLOOKUP(WEEKDAY($B16),Datenblatt!$I$33:$K$39,3,FALSE))</f>
        <v>8</v>
      </c>
      <c r="E16" s="164">
        <f>IF(VLOOKUP($B16,Datenblatt!$A$43:$A$65,1,1)=$B16,0,IF(WEEKDAY($B16)=7,1,IF(WEEKDAY($B16)=1,0,2)))</f>
        <v>2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416" t="str">
        <f>IF(VLOOKUP($B16,Datenblatt!$A$43:$A$66,1,1)=$B16,VLOOKUP($B16,Datenblatt!$A$43:$C$66,3,FALSE)," ")</f>
        <v xml:space="preserve"> </v>
      </c>
      <c r="W16" s="417"/>
      <c r="X16" s="418"/>
      <c r="AA16" s="179"/>
    </row>
    <row r="17" spans="2:128" ht="12.2" customHeight="1">
      <c r="B17" s="162">
        <f t="shared" si="4"/>
        <v>46031</v>
      </c>
      <c r="C17" s="163">
        <f t="shared" si="0"/>
        <v>46031</v>
      </c>
      <c r="D17" s="164">
        <f>IF(VLOOKUP($B17,Datenblatt!$A$43:$A$65,1,1)=$B17,0,VLOOKUP(WEEKDAY($B17),Datenblatt!$I$33:$K$39,3,FALSE))</f>
        <v>8</v>
      </c>
      <c r="E17" s="164">
        <f>IF(VLOOKUP($B17,Datenblatt!$A$43:$A$65,1,1)=$B17,0,IF(WEEKDAY($B17)=7,1,IF(WEEKDAY($B17)=1,0,2)))</f>
        <v>2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416" t="str">
        <f>IF(VLOOKUP($B17,Datenblatt!$A$43:$A$66,1,1)=$B17,VLOOKUP($B17,Datenblatt!$A$43:$C$66,3,FALSE)," ")</f>
        <v xml:space="preserve"> </v>
      </c>
      <c r="W17" s="417"/>
      <c r="X17" s="418"/>
      <c r="AA17" s="179"/>
    </row>
    <row r="18" spans="2:128" ht="12.2" customHeight="1">
      <c r="B18" s="162">
        <f t="shared" si="4"/>
        <v>46032</v>
      </c>
      <c r="C18" s="163">
        <f t="shared" si="0"/>
        <v>46032</v>
      </c>
      <c r="D18" s="164">
        <f>IF(VLOOKUP($B18,Datenblatt!$A$43:$A$65,1,1)=$B18,0,VLOOKUP(WEEKDAY($B18),Datenblatt!$I$33:$K$39,3,FALSE))</f>
        <v>0</v>
      </c>
      <c r="E18" s="164">
        <f>IF(VLOOKUP($B18,Datenblatt!$A$43:$A$65,1,1)=$B18,0,IF(WEEKDAY($B18)=7,1,IF(WEEKDAY($B18)=1,0,2)))</f>
        <v>1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416" t="str">
        <f>IF(VLOOKUP($B18,Datenblatt!$A$43:$A$66,1,1)=$B18,VLOOKUP($B18,Datenblatt!$A$43:$C$66,3,FALSE)," ")</f>
        <v xml:space="preserve"> </v>
      </c>
      <c r="W18" s="417"/>
      <c r="X18" s="418"/>
      <c r="AA18" s="179"/>
    </row>
    <row r="19" spans="2:128" ht="12.2" customHeight="1">
      <c r="B19" s="162">
        <f t="shared" si="4"/>
        <v>46033</v>
      </c>
      <c r="C19" s="163">
        <f t="shared" si="0"/>
        <v>46033</v>
      </c>
      <c r="D19" s="164">
        <f>IF(VLOOKUP($B19,Datenblatt!$A$43:$A$65,1,1)=$B19,0,VLOOKUP(WEEKDAY($B19),Datenblatt!$I$33:$K$39,3,FALSE))</f>
        <v>0</v>
      </c>
      <c r="E19" s="164">
        <f>IF(VLOOKUP($B19,Datenblatt!$A$43:$A$65,1,1)=$B19,0,IF(WEEKDAY($B19)=7,1,IF(WEEKDAY($B19)=1,0,2)))</f>
        <v>0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416" t="str">
        <f>IF(VLOOKUP($B19,Datenblatt!$A$43:$A$66,1,1)=$B19,VLOOKUP($B19,Datenblatt!$A$43:$C$66,3,FALSE)," ")</f>
        <v xml:space="preserve"> </v>
      </c>
      <c r="W19" s="417"/>
      <c r="X19" s="418"/>
      <c r="AA19" s="179"/>
    </row>
    <row r="20" spans="2:128" ht="12.2" customHeight="1">
      <c r="B20" s="162">
        <f t="shared" si="4"/>
        <v>46034</v>
      </c>
      <c r="C20" s="163">
        <f t="shared" si="0"/>
        <v>46034</v>
      </c>
      <c r="D20" s="164">
        <f>IF(VLOOKUP($B20,Datenblatt!$A$43:$A$65,1,1)=$B20,0,VLOOKUP(WEEKDAY($B20),Datenblatt!$I$33:$K$39,3,FALSE))</f>
        <v>8</v>
      </c>
      <c r="E20" s="164">
        <f>IF(VLOOKUP($B20,Datenblatt!$A$43:$A$65,1,1)=$B20,0,IF(WEEKDAY($B20)=7,1,IF(WEEKDAY($B20)=1,0,2)))</f>
        <v>2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416" t="str">
        <f>IF(VLOOKUP($B20,Datenblatt!$A$43:$A$66,1,1)=$B20,VLOOKUP($B20,Datenblatt!$A$43:$C$66,3,FALSE)," ")</f>
        <v xml:space="preserve"> </v>
      </c>
      <c r="W20" s="417"/>
      <c r="X20" s="418"/>
      <c r="AA20" s="179"/>
    </row>
    <row r="21" spans="2:128" ht="12.2" customHeight="1">
      <c r="B21" s="162">
        <f t="shared" si="4"/>
        <v>46035</v>
      </c>
      <c r="C21" s="163">
        <f t="shared" si="0"/>
        <v>46035</v>
      </c>
      <c r="D21" s="164">
        <f>IF(VLOOKUP($B21,Datenblatt!$A$43:$A$65,1,1)=$B21,0,VLOOKUP(WEEKDAY($B21),Datenblatt!$I$33:$K$39,3,FALSE))</f>
        <v>8</v>
      </c>
      <c r="E21" s="164">
        <f>IF(VLOOKUP($B21,Datenblatt!$A$43:$A$65,1,1)=$B21,0,IF(WEEKDAY($B21)=7,1,IF(WEEKDAY($B21)=1,0,2)))</f>
        <v>2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416" t="str">
        <f>IF(VLOOKUP($B21,Datenblatt!$A$43:$A$66,1,1)=$B21,VLOOKUP($B21,Datenblatt!$A$43:$C$66,3,FALSE)," ")</f>
        <v xml:space="preserve"> </v>
      </c>
      <c r="W21" s="417"/>
      <c r="X21" s="418"/>
      <c r="AA21" s="179"/>
    </row>
    <row r="22" spans="2:128" s="180" customFormat="1" ht="12.2" customHeight="1">
      <c r="B22" s="162">
        <f t="shared" si="4"/>
        <v>46036</v>
      </c>
      <c r="C22" s="163">
        <f t="shared" si="0"/>
        <v>46036</v>
      </c>
      <c r="D22" s="164">
        <f>IF(VLOOKUP($B22,Datenblatt!$A$43:$A$65,1,1)=$B22,0,VLOOKUP(WEEKDAY($B22),Datenblatt!$I$33:$K$39,3,FALSE))</f>
        <v>8</v>
      </c>
      <c r="E22" s="164">
        <f>IF(VLOOKUP($B22,Datenblatt!$A$43:$A$65,1,1)=$B22,0,IF(WEEKDAY($B22)=7,1,IF(WEEKDAY($B22)=1,0,2)))</f>
        <v>2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416" t="str">
        <f>IF(VLOOKUP($B22,Datenblatt!$A$43:$A$66,1,1)=$B22,VLOOKUP($B22,Datenblatt!$A$43:$C$66,3,FALSE)," ")</f>
        <v xml:space="preserve"> </v>
      </c>
      <c r="W22" s="417"/>
      <c r="X22" s="418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46037</v>
      </c>
      <c r="C23" s="163">
        <f t="shared" si="0"/>
        <v>46037</v>
      </c>
      <c r="D23" s="164">
        <f>IF(VLOOKUP($B23,Datenblatt!$A$43:$A$65,1,1)=$B23,0,VLOOKUP(WEEKDAY($B23),Datenblatt!$I$33:$K$39,3,FALSE))</f>
        <v>8</v>
      </c>
      <c r="E23" s="164">
        <f>IF(VLOOKUP($B23,Datenblatt!$A$43:$A$65,1,1)=$B23,0,IF(WEEKDAY($B23)=7,1,IF(WEEKDAY($B23)=1,0,2)))</f>
        <v>2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416" t="str">
        <f>IF(VLOOKUP($B23,Datenblatt!$A$43:$A$66,1,1)=$B23,VLOOKUP($B23,Datenblatt!$A$43:$C$66,3,FALSE)," ")</f>
        <v xml:space="preserve"> </v>
      </c>
      <c r="W23" s="417"/>
      <c r="X23" s="418"/>
      <c r="AA23" s="179"/>
    </row>
    <row r="24" spans="2:128" ht="12.2" customHeight="1">
      <c r="B24" s="162">
        <f t="shared" si="4"/>
        <v>46038</v>
      </c>
      <c r="C24" s="163">
        <f t="shared" si="0"/>
        <v>46038</v>
      </c>
      <c r="D24" s="164">
        <f>IF(VLOOKUP($B24,Datenblatt!$A$43:$A$65,1,1)=$B24,0,VLOOKUP(WEEKDAY($B24),Datenblatt!$I$33:$K$39,3,FALSE))</f>
        <v>8</v>
      </c>
      <c r="E24" s="164">
        <f>IF(VLOOKUP($B24,Datenblatt!$A$43:$A$65,1,1)=$B24,0,IF(WEEKDAY($B24)=7,1,IF(WEEKDAY($B24)=1,0,2)))</f>
        <v>2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416" t="str">
        <f>IF(VLOOKUP($B24,Datenblatt!$A$43:$A$66,1,1)=$B24,VLOOKUP($B24,Datenblatt!$A$43:$C$66,3,FALSE)," ")</f>
        <v xml:space="preserve"> </v>
      </c>
      <c r="W24" s="417"/>
      <c r="X24" s="418"/>
      <c r="AA24" s="179"/>
    </row>
    <row r="25" spans="2:128" ht="12.2" customHeight="1">
      <c r="B25" s="162">
        <f t="shared" si="4"/>
        <v>46039</v>
      </c>
      <c r="C25" s="163">
        <f t="shared" si="0"/>
        <v>46039</v>
      </c>
      <c r="D25" s="164">
        <f>IF(VLOOKUP($B25,Datenblatt!$A$43:$A$65,1,1)=$B25,0,VLOOKUP(WEEKDAY($B25),Datenblatt!$I$33:$K$39,3,FALSE))</f>
        <v>0</v>
      </c>
      <c r="E25" s="164">
        <f>IF(VLOOKUP($B25,Datenblatt!$A$43:$A$65,1,1)=$B25,0,IF(WEEKDAY($B25)=7,1,IF(WEEKDAY($B25)=1,0,2)))</f>
        <v>1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416" t="str">
        <f>IF(VLOOKUP($B25,Datenblatt!$A$43:$A$66,1,1)=$B25,VLOOKUP($B25,Datenblatt!$A$43:$C$66,3,FALSE)," ")</f>
        <v xml:space="preserve"> </v>
      </c>
      <c r="W25" s="417"/>
      <c r="X25" s="418"/>
      <c r="AA25" s="179"/>
    </row>
    <row r="26" spans="2:128" ht="12.2" customHeight="1">
      <c r="B26" s="162">
        <f t="shared" si="4"/>
        <v>46040</v>
      </c>
      <c r="C26" s="163">
        <f t="shared" si="0"/>
        <v>46040</v>
      </c>
      <c r="D26" s="164">
        <f>IF(VLOOKUP($B26,Datenblatt!$A$43:$A$65,1,1)=$B26,0,VLOOKUP(WEEKDAY($B26),Datenblatt!$I$33:$K$39,3,FALSE))</f>
        <v>0</v>
      </c>
      <c r="E26" s="164">
        <f>IF(VLOOKUP($B26,Datenblatt!$A$43:$A$65,1,1)=$B26,0,IF(WEEKDAY($B26)=7,1,IF(WEEKDAY($B26)=1,0,2)))</f>
        <v>0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416" t="str">
        <f>IF(VLOOKUP($B26,Datenblatt!$A$43:$A$66,1,1)=$B26,VLOOKUP($B26,Datenblatt!$A$43:$C$66,3,FALSE)," ")</f>
        <v xml:space="preserve"> </v>
      </c>
      <c r="W26" s="417"/>
      <c r="X26" s="418"/>
      <c r="AA26" s="179"/>
    </row>
    <row r="27" spans="2:128" ht="12.2" customHeight="1">
      <c r="B27" s="162">
        <f t="shared" si="4"/>
        <v>46041</v>
      </c>
      <c r="C27" s="163">
        <f t="shared" si="0"/>
        <v>46041</v>
      </c>
      <c r="D27" s="164">
        <f>IF(VLOOKUP($B27,Datenblatt!$A$43:$A$65,1,1)=$B27,0,VLOOKUP(WEEKDAY($B27),Datenblatt!$I$33:$K$39,3,FALSE))</f>
        <v>8</v>
      </c>
      <c r="E27" s="164">
        <f>IF(VLOOKUP($B27,Datenblatt!$A$43:$A$65,1,1)=$B27,0,IF(WEEKDAY($B27)=7,1,IF(WEEKDAY($B27)=1,0,2)))</f>
        <v>2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416" t="str">
        <f>IF(VLOOKUP($B27,Datenblatt!$A$43:$A$66,1,1)=$B27,VLOOKUP($B27,Datenblatt!$A$43:$C$66,3,FALSE)," ")</f>
        <v xml:space="preserve"> </v>
      </c>
      <c r="W27" s="417"/>
      <c r="X27" s="418"/>
      <c r="AA27" s="179"/>
    </row>
    <row r="28" spans="2:128" ht="12.2" customHeight="1">
      <c r="B28" s="162">
        <f t="shared" si="4"/>
        <v>46042</v>
      </c>
      <c r="C28" s="163">
        <f t="shared" si="0"/>
        <v>46042</v>
      </c>
      <c r="D28" s="164">
        <f>IF(VLOOKUP($B28,Datenblatt!$A$43:$A$65,1,1)=$B28,0,VLOOKUP(WEEKDAY($B28),Datenblatt!$I$33:$K$39,3,FALSE))</f>
        <v>8</v>
      </c>
      <c r="E28" s="164">
        <f>IF(VLOOKUP($B28,Datenblatt!$A$43:$A$65,1,1)=$B28,0,IF(WEEKDAY($B28)=7,1,IF(WEEKDAY($B28)=1,0,2)))</f>
        <v>2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416" t="str">
        <f>IF(VLOOKUP($B28,Datenblatt!$A$43:$A$66,1,1)=$B28,VLOOKUP($B28,Datenblatt!$A$43:$C$66,3,FALSE)," ")</f>
        <v xml:space="preserve"> </v>
      </c>
      <c r="W28" s="417"/>
      <c r="X28" s="418"/>
      <c r="AA28" s="179"/>
    </row>
    <row r="29" spans="2:128" ht="12.2" customHeight="1">
      <c r="B29" s="162">
        <f t="shared" si="4"/>
        <v>46043</v>
      </c>
      <c r="C29" s="163">
        <f t="shared" si="0"/>
        <v>46043</v>
      </c>
      <c r="D29" s="164">
        <f>IF(VLOOKUP($B29,Datenblatt!$A$43:$A$65,1,1)=$B29,0,VLOOKUP(WEEKDAY($B29),Datenblatt!$I$33:$K$39,3,FALSE))</f>
        <v>8</v>
      </c>
      <c r="E29" s="164">
        <f>IF(VLOOKUP($B29,Datenblatt!$A$43:$A$65,1,1)=$B29,0,IF(WEEKDAY($B29)=7,1,IF(WEEKDAY($B29)=1,0,2)))</f>
        <v>2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416" t="str">
        <f>IF(VLOOKUP($B29,Datenblatt!$A$43:$A$66,1,1)=$B29,VLOOKUP($B29,Datenblatt!$A$43:$C$66,3,FALSE)," ")</f>
        <v xml:space="preserve"> </v>
      </c>
      <c r="W29" s="417"/>
      <c r="X29" s="418"/>
      <c r="AA29" s="179"/>
    </row>
    <row r="30" spans="2:128" ht="12.2" customHeight="1">
      <c r="B30" s="162">
        <f t="shared" si="4"/>
        <v>46044</v>
      </c>
      <c r="C30" s="163">
        <f t="shared" si="0"/>
        <v>46044</v>
      </c>
      <c r="D30" s="164">
        <f>IF(VLOOKUP($B30,Datenblatt!$A$43:$A$65,1,1)=$B30,0,VLOOKUP(WEEKDAY($B30),Datenblatt!$I$33:$K$39,3,FALSE))</f>
        <v>8</v>
      </c>
      <c r="E30" s="164">
        <f>IF(VLOOKUP($B30,Datenblatt!$A$43:$A$65,1,1)=$B30,0,IF(WEEKDAY($B30)=7,1,IF(WEEKDAY($B30)=1,0,2)))</f>
        <v>2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416" t="str">
        <f>IF(VLOOKUP($B30,Datenblatt!$A$43:$A$66,1,1)=$B30,VLOOKUP($B30,Datenblatt!$A$43:$C$66,3,FALSE)," ")</f>
        <v xml:space="preserve"> </v>
      </c>
      <c r="W30" s="417"/>
      <c r="X30" s="418"/>
      <c r="AA30" s="179"/>
    </row>
    <row r="31" spans="2:128" ht="12.2" customHeight="1">
      <c r="B31" s="162">
        <f t="shared" si="4"/>
        <v>46045</v>
      </c>
      <c r="C31" s="163">
        <f t="shared" si="0"/>
        <v>46045</v>
      </c>
      <c r="D31" s="164">
        <f>IF(VLOOKUP($B31,Datenblatt!$A$43:$A$65,1,1)=$B31,0,VLOOKUP(WEEKDAY($B31),Datenblatt!$I$33:$K$39,3,FALSE))</f>
        <v>8</v>
      </c>
      <c r="E31" s="164">
        <f>IF(VLOOKUP($B31,Datenblatt!$A$43:$A$65,1,1)=$B31,0,IF(WEEKDAY($B31)=7,1,IF(WEEKDAY($B31)=1,0,2)))</f>
        <v>2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416" t="str">
        <f>IF(VLOOKUP($B31,Datenblatt!$A$43:$A$66,1,1)=$B31,VLOOKUP($B31,Datenblatt!$A$43:$C$66,3,FALSE)," ")</f>
        <v xml:space="preserve"> </v>
      </c>
      <c r="W31" s="417"/>
      <c r="X31" s="418"/>
      <c r="AA31" s="179"/>
    </row>
    <row r="32" spans="2:128" ht="12.2" customHeight="1">
      <c r="B32" s="162">
        <f t="shared" si="4"/>
        <v>46046</v>
      </c>
      <c r="C32" s="163">
        <f t="shared" si="0"/>
        <v>46046</v>
      </c>
      <c r="D32" s="164">
        <f>IF(VLOOKUP($B32,Datenblatt!$A$43:$A$65,1,1)=$B32,0,VLOOKUP(WEEKDAY($B32),Datenblatt!$I$33:$K$39,3,FALSE))</f>
        <v>0</v>
      </c>
      <c r="E32" s="164">
        <f>IF(VLOOKUP($B32,Datenblatt!$A$43:$A$65,1,1)=$B32,0,IF(WEEKDAY($B32)=7,1,IF(WEEKDAY($B32)=1,0,2)))</f>
        <v>1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416" t="str">
        <f>IF(VLOOKUP($B32,Datenblatt!$A$43:$A$66,1,1)=$B32,VLOOKUP($B32,Datenblatt!$A$43:$C$66,3,FALSE)," ")</f>
        <v xml:space="preserve"> </v>
      </c>
      <c r="W32" s="417"/>
      <c r="X32" s="418"/>
      <c r="AA32" s="179"/>
    </row>
    <row r="33" spans="2:128" ht="12.2" customHeight="1">
      <c r="B33" s="162">
        <f t="shared" si="4"/>
        <v>46047</v>
      </c>
      <c r="C33" s="163">
        <f t="shared" si="0"/>
        <v>46047</v>
      </c>
      <c r="D33" s="164">
        <f>IF(VLOOKUP($B33,Datenblatt!$A$43:$A$65,1,1)=$B33,0,VLOOKUP(WEEKDAY($B33),Datenblatt!$I$33:$K$39,3,FALSE))</f>
        <v>0</v>
      </c>
      <c r="E33" s="164">
        <f>IF(VLOOKUP($B33,Datenblatt!$A$43:$A$65,1,1)=$B33,0,IF(WEEKDAY($B33)=7,1,IF(WEEKDAY($B33)=1,0,2)))</f>
        <v>0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416" t="str">
        <f>IF(VLOOKUP($B33,Datenblatt!$A$43:$A$66,1,1)=$B33,VLOOKUP($B33,Datenblatt!$A$43:$C$66,3,FALSE)," ")</f>
        <v xml:space="preserve"> </v>
      </c>
      <c r="W33" s="417"/>
      <c r="X33" s="418"/>
      <c r="AA33" s="179"/>
    </row>
    <row r="34" spans="2:128" ht="12.2" customHeight="1">
      <c r="B34" s="162">
        <f t="shared" si="4"/>
        <v>46048</v>
      </c>
      <c r="C34" s="163">
        <f t="shared" si="0"/>
        <v>46048</v>
      </c>
      <c r="D34" s="164">
        <f>IF(VLOOKUP($B34,Datenblatt!$A$43:$A$65,1,1)=$B34,0,VLOOKUP(WEEKDAY($B34),Datenblatt!$I$33:$K$39,3,FALSE))</f>
        <v>8</v>
      </c>
      <c r="E34" s="164">
        <f>IF(VLOOKUP($B34,Datenblatt!$A$43:$A$65,1,1)=$B34,0,IF(WEEKDAY($B34)=7,1,IF(WEEKDAY($B34)=1,0,2)))</f>
        <v>2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416" t="str">
        <f>IF(VLOOKUP($B34,Datenblatt!$A$43:$A$66,1,1)=$B34,VLOOKUP($B34,Datenblatt!$A$43:$C$66,3,FALSE)," ")</f>
        <v xml:space="preserve"> </v>
      </c>
      <c r="W34" s="417"/>
      <c r="X34" s="418"/>
      <c r="AA34" s="179"/>
    </row>
    <row r="35" spans="2:128" ht="12.2" customHeight="1">
      <c r="B35" s="162">
        <f t="shared" si="4"/>
        <v>46049</v>
      </c>
      <c r="C35" s="163">
        <f t="shared" si="0"/>
        <v>46049</v>
      </c>
      <c r="D35" s="164">
        <f>IF(VLOOKUP($B35,Datenblatt!$A$43:$A$65,1,1)=$B35,0,VLOOKUP(WEEKDAY($B35),Datenblatt!$I$33:$K$39,3,FALSE))</f>
        <v>8</v>
      </c>
      <c r="E35" s="164">
        <f>IF(VLOOKUP($B35,Datenblatt!$A$43:$A$65,1,1)=$B35,0,IF(WEEKDAY($B35)=7,1,IF(WEEKDAY($B35)=1,0,2)))</f>
        <v>2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416" t="str">
        <f>IF(VLOOKUP($B35,Datenblatt!$A$43:$A$66,1,1)=$B35,VLOOKUP($B35,Datenblatt!$A$43:$C$66,3,FALSE)," ")</f>
        <v xml:space="preserve"> </v>
      </c>
      <c r="W35" s="417"/>
      <c r="X35" s="418"/>
      <c r="AA35" s="179"/>
    </row>
    <row r="36" spans="2:128" ht="12.2" customHeight="1">
      <c r="B36" s="162">
        <f t="shared" si="4"/>
        <v>46050</v>
      </c>
      <c r="C36" s="163">
        <f t="shared" si="0"/>
        <v>46050</v>
      </c>
      <c r="D36" s="164">
        <f>IF(VLOOKUP($B36,Datenblatt!$A$43:$A$65,1,1)=$B36,0,VLOOKUP(WEEKDAY($B36),Datenblatt!$I$33:$K$39,3,FALSE))</f>
        <v>8</v>
      </c>
      <c r="E36" s="164">
        <f>IF(VLOOKUP($B36,Datenblatt!$A$43:$A$65,1,1)=$B36,0,IF(WEEKDAY($B36)=7,1,IF(WEEKDAY($B36)=1,0,2)))</f>
        <v>2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416" t="str">
        <f>IF(VLOOKUP($B36,Datenblatt!$A$43:$A$66,1,1)=$B36,VLOOKUP($B36,Datenblatt!$A$43:$C$66,3,FALSE)," ")</f>
        <v xml:space="preserve"> </v>
      </c>
      <c r="W36" s="417"/>
      <c r="X36" s="418"/>
      <c r="AA36" s="179"/>
    </row>
    <row r="37" spans="2:128" ht="12.2" customHeight="1">
      <c r="B37" s="162">
        <f t="shared" si="4"/>
        <v>46051</v>
      </c>
      <c r="C37" s="163">
        <f t="shared" si="0"/>
        <v>46051</v>
      </c>
      <c r="D37" s="164">
        <f>IF(VLOOKUP($B37,Datenblatt!$A$43:$A$65,1,1)=$B37,0,VLOOKUP(WEEKDAY($B37),Datenblatt!$I$33:$K$39,3,FALSE))</f>
        <v>8</v>
      </c>
      <c r="E37" s="164">
        <f>IF(VLOOKUP($B37,Datenblatt!$A$43:$A$65,1,1)=$B37,0,IF(WEEKDAY($B37)=7,1,IF(WEEKDAY($B37)=1,0,2)))</f>
        <v>2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416" t="str">
        <f>IF(VLOOKUP($B37,Datenblatt!$A$43:$A$66,1,1)=$B37,VLOOKUP($B37,Datenblatt!$A$43:$C$66,3,FALSE)," ")</f>
        <v xml:space="preserve"> </v>
      </c>
      <c r="W37" s="417"/>
      <c r="X37" s="418"/>
      <c r="AA37" s="179"/>
    </row>
    <row r="38" spans="2:128" ht="12.2" customHeight="1">
      <c r="B38" s="162">
        <f t="shared" si="4"/>
        <v>46052</v>
      </c>
      <c r="C38" s="163">
        <f t="shared" si="0"/>
        <v>46052</v>
      </c>
      <c r="D38" s="164">
        <f>IF(VLOOKUP($B38,Datenblatt!$A$43:$A$65,1,1)=$B38,0,VLOOKUP(WEEKDAY($B38),Datenblatt!$I$33:$K$39,3,FALSE))</f>
        <v>8</v>
      </c>
      <c r="E38" s="164">
        <f>IF(VLOOKUP($B38,Datenblatt!$A$43:$A$65,1,1)=$B38,0,IF(WEEKDAY($B38)=7,1,IF(WEEKDAY($B38)=1,0,2)))</f>
        <v>2</v>
      </c>
      <c r="F38" s="165"/>
      <c r="G38" s="166"/>
      <c r="H38" s="167"/>
      <c r="I38" s="168"/>
      <c r="J38" s="167"/>
      <c r="K38" s="168"/>
      <c r="L38" s="167"/>
      <c r="M38" s="169"/>
      <c r="N38" s="170"/>
      <c r="O38" s="170"/>
      <c r="P38" s="171"/>
      <c r="Q38" s="172"/>
      <c r="R38" s="173" t="str">
        <f t="shared" si="1"/>
        <v/>
      </c>
      <c r="S38" s="174" t="str">
        <f t="shared" si="2"/>
        <v/>
      </c>
      <c r="T38" s="175" t="str">
        <f t="shared" si="3"/>
        <v/>
      </c>
      <c r="U38" s="176"/>
      <c r="V38" s="416" t="str">
        <f>IF(VLOOKUP($B38,Datenblatt!$A$43:$A$66,1,1)=$B38,VLOOKUP($B38,Datenblatt!$A$43:$C$66,3,FALSE)," ")</f>
        <v xml:space="preserve"> </v>
      </c>
      <c r="W38" s="417"/>
      <c r="X38" s="418"/>
      <c r="AA38" s="179"/>
    </row>
    <row r="39" spans="2:128" ht="12.2" customHeight="1" thickBot="1">
      <c r="B39" s="162">
        <f t="shared" si="4"/>
        <v>46053</v>
      </c>
      <c r="C39" s="163">
        <f t="shared" si="0"/>
        <v>46053</v>
      </c>
      <c r="D39" s="164">
        <f>IF(VLOOKUP($B39,Datenblatt!$A$43:$A$65,1,1)=$B39,0,VLOOKUP(WEEKDAY($B39),Datenblatt!$I$33:$K$39,3,FALSE))</f>
        <v>0</v>
      </c>
      <c r="E39" s="164">
        <f>IF(VLOOKUP($B39,Datenblatt!$A$43:$A$65,1,1)=$B39,0,IF(WEEKDAY($B39)=7,1,IF(WEEKDAY($B39)=1,0,2)))</f>
        <v>1</v>
      </c>
      <c r="F39" s="165"/>
      <c r="G39" s="166"/>
      <c r="H39" s="167"/>
      <c r="I39" s="168"/>
      <c r="J39" s="167"/>
      <c r="K39" s="168"/>
      <c r="L39" s="167"/>
      <c r="M39" s="169"/>
      <c r="N39" s="170"/>
      <c r="O39" s="170"/>
      <c r="P39" s="171"/>
      <c r="Q39" s="172"/>
      <c r="R39" s="173" t="str">
        <f t="shared" si="1"/>
        <v/>
      </c>
      <c r="S39" s="174" t="str">
        <f t="shared" si="2"/>
        <v/>
      </c>
      <c r="T39" s="175" t="str">
        <f t="shared" si="3"/>
        <v/>
      </c>
      <c r="U39" s="176"/>
      <c r="V39" s="424" t="str">
        <f>IF(VLOOKUP($B39,Datenblatt!$A$43:$A$66,1,1)=$B39,VLOOKUP($B39,Datenblatt!$A$43:$C$66,3,FALSE)," ")</f>
        <v xml:space="preserve"> </v>
      </c>
      <c r="W39" s="425"/>
      <c r="X39" s="426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412"/>
      <c r="X40" s="41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20  Arbeitstage in diesem Monat</v>
      </c>
      <c r="C41" s="191"/>
      <c r="D41" s="192"/>
      <c r="E41" s="192"/>
      <c r="F41" s="192"/>
      <c r="G41" s="193"/>
      <c r="H41" s="24"/>
      <c r="I41" s="66"/>
      <c r="J41" s="66"/>
      <c r="K41" s="66"/>
      <c r="L41" s="66"/>
      <c r="M41" s="24" t="str">
        <f>"Sollstunden für Januar "&amp;Datenblatt!$F$5&amp;":"</f>
        <v>Sollstunden für Januar 2026:</v>
      </c>
      <c r="N41" s="66"/>
      <c r="O41" s="66"/>
      <c r="P41" s="194"/>
      <c r="R41" s="195"/>
      <c r="S41" s="398">
        <f>SUM(D9:D39)</f>
        <v>160</v>
      </c>
      <c r="T41" s="398"/>
      <c r="U41" s="196"/>
      <c r="V41" s="196"/>
      <c r="W41" s="197"/>
      <c r="X41" s="130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20" t="s">
        <v>239</v>
      </c>
      <c r="J42" s="420"/>
      <c r="K42" s="198"/>
      <c r="M42" s="198" t="str">
        <f>IF(S42&gt;=0,"Zeitguthaben im Monat Januar "&amp;Datenblatt!F5&amp;":   ","Zeitdefizit im Monat Januar "&amp;Datenblatt!F5&amp;":   ")</f>
        <v xml:space="preserve">Zeitguthaben im Monat Januar 2026:   </v>
      </c>
      <c r="N42" s="198"/>
      <c r="O42" s="198"/>
      <c r="R42" s="199"/>
      <c r="S42" s="421" t="s">
        <v>239</v>
      </c>
      <c r="T42" s="421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Dezember "&amp;Datenblatt!F5-1&amp;":   ","  - Zeitdefizit aus Jänner "&amp;Datenblatt!F5&amp;":   ")</f>
        <v xml:space="preserve">  + Zeitguthaben aus Dezember 2025:   </v>
      </c>
      <c r="S43" s="422">
        <f>Datenblatt!$D$13</f>
        <v>0</v>
      </c>
      <c r="T43" s="422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198" t="str">
        <f>"Übertrag für Februar "&amp;Datenblatt!F5</f>
        <v>Übertrag für Februar 2026</v>
      </c>
      <c r="R44" s="204"/>
      <c r="S44" s="423" t="s">
        <v>239</v>
      </c>
      <c r="T44" s="423"/>
      <c r="U44" s="200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19">
        <f ca="1">TODAY()</f>
        <v>45935</v>
      </c>
      <c r="H45" s="419"/>
      <c r="I45" s="419"/>
      <c r="T45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G45:I45"/>
    <mergeCell ref="I42:J42"/>
    <mergeCell ref="S42:T42"/>
    <mergeCell ref="S43:T43"/>
    <mergeCell ref="S44:T44"/>
    <mergeCell ref="W7:W8"/>
    <mergeCell ref="F7:G7"/>
    <mergeCell ref="S7:S8"/>
    <mergeCell ref="X7:X8"/>
    <mergeCell ref="W40:X40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S41:T41"/>
    <mergeCell ref="L2:P2"/>
    <mergeCell ref="T4:U4"/>
    <mergeCell ref="T5:U5"/>
    <mergeCell ref="H7:M7"/>
    <mergeCell ref="N7:O7"/>
    <mergeCell ref="P7:P8"/>
    <mergeCell ref="Q7:Q8"/>
  </mergeCells>
  <phoneticPr fontId="2" type="noConversion"/>
  <conditionalFormatting sqref="A15 DY15:IV15">
    <cfRule type="cellIs" dxfId="76" priority="1" stopIfTrue="1" operator="equal">
      <formula>MATCH($E15,0)</formula>
    </cfRule>
    <cfRule type="expression" dxfId="75" priority="2" stopIfTrue="1">
      <formula>"WOCHENTAG($B8)=1"</formula>
    </cfRule>
    <cfRule type="expression" dxfId="74" priority="3" stopIfTrue="1">
      <formula>"WOCHENTAG($B8)=7"</formula>
    </cfRule>
  </conditionalFormatting>
  <conditionalFormatting sqref="B9:C39">
    <cfRule type="expression" dxfId="73" priority="8" stopIfTrue="1">
      <formula>($E9=1)</formula>
    </cfRule>
  </conditionalFormatting>
  <conditionalFormatting sqref="V9 B9:T39 V10:X10 V11:V39">
    <cfRule type="expression" dxfId="72" priority="4" stopIfTrue="1">
      <formula>($E9=0)</formula>
    </cfRule>
    <cfRule type="expression" dxfId="71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X48"/>
  <sheetViews>
    <sheetView showGridLines="0" workbookViewId="0">
      <pane ySplit="8" topLeftCell="A9" activePane="bottomLeft" state="frozen"/>
      <selection activeCell="V13" sqref="V13:X13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" style="94" customWidth="1"/>
    <col min="4" max="4" width="0.140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399">
        <f>DATE(Datenblatt!F5,2,1)</f>
        <v>46054</v>
      </c>
      <c r="M2" s="399"/>
      <c r="N2" s="399"/>
      <c r="O2" s="399"/>
      <c r="P2" s="399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"&amp;Datenblatt!$N$33&amp;";"&amp;"    Di: "&amp;Datenblatt!$N$34&amp;";"&amp;"    Mi: "&amp;Datenblatt!$N$35&amp;";"&amp;"    Do: "&amp;Datenblatt!$N$36&amp;";"&amp;"    Fr: "&amp;Datenblatt!$N$37&amp;";"&amp;"    Sa: "&amp;Datenblatt!$N$38&amp;";"&amp;"    So: "&amp;Datenblatt!$N$39&amp;""&amp;"     -    Wochenarbeitszeit:  "&amp;Datenblatt!$N$40&amp;" h"</f>
        <v>Arbeitsstunden/Tag:  Mo: 8;    Di: 8;    Mi: 8;    Do: 8;    Fr: 8;    Sa: 0;    So: 0     -    Wochenarbeitszeit:  40 h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01" t="s">
        <v>238</v>
      </c>
      <c r="U4" s="401"/>
      <c r="V4" s="147"/>
      <c r="W4" s="148" t="str">
        <f>"Urlaubsanspruch per 01.02."&amp;Datenblatt!$F$5</f>
        <v>Urlaubsanspruch per 01.02.2026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"&amp;IF(Datenblatt!N42=1,Datenblatt!D34,IF(Datenblatt!N42=2,Datenblatt!D35,IF(Datenblatt!N42=3,Datenblatt!D36,IF(Datenblatt!N42=4,Datenblatt!D37))))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01" t="s">
        <v>238</v>
      </c>
      <c r="U5" s="401"/>
      <c r="V5" s="147"/>
      <c r="W5" s="149" t="str">
        <f>"Resturlaub per Ende Feber "&amp;Datenblatt!$F$5</f>
        <v>Resturlaub per Ende Feber 2026</v>
      </c>
      <c r="X5" s="130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66"/>
      <c r="D7" s="66"/>
      <c r="E7" s="66"/>
      <c r="F7" s="408" t="s">
        <v>126</v>
      </c>
      <c r="G7" s="408"/>
      <c r="H7" s="402" t="s">
        <v>127</v>
      </c>
      <c r="I7" s="402"/>
      <c r="J7" s="402"/>
      <c r="K7" s="402"/>
      <c r="L7" s="402"/>
      <c r="M7" s="402"/>
      <c r="N7" s="403" t="s">
        <v>128</v>
      </c>
      <c r="O7" s="403"/>
      <c r="P7" s="404" t="s">
        <v>129</v>
      </c>
      <c r="Q7" s="405" t="s">
        <v>130</v>
      </c>
      <c r="R7" s="150" t="s">
        <v>131</v>
      </c>
      <c r="S7" s="409" t="s">
        <v>132</v>
      </c>
      <c r="T7" s="151" t="s">
        <v>133</v>
      </c>
      <c r="U7" s="152"/>
      <c r="V7" s="350"/>
      <c r="W7" s="406" t="s">
        <v>134</v>
      </c>
      <c r="X7" s="410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04"/>
      <c r="Q8" s="405"/>
      <c r="R8" s="158" t="s">
        <v>138</v>
      </c>
      <c r="S8" s="409"/>
      <c r="T8" s="159" t="s">
        <v>138</v>
      </c>
      <c r="U8" s="160"/>
      <c r="V8" s="351"/>
      <c r="W8" s="407"/>
      <c r="X8" s="411"/>
    </row>
    <row r="9" spans="2:128" s="161" customFormat="1" ht="12.2" customHeight="1">
      <c r="B9" s="162">
        <f>L2</f>
        <v>46054</v>
      </c>
      <c r="C9" s="163">
        <f t="shared" ref="C9:C37" si="0">B9</f>
        <v>46054</v>
      </c>
      <c r="D9" s="164">
        <f>IF(VLOOKUP($B9,Datenblatt!$A$43:$A$65,1,1)=$B9,0,VLOOKUP(WEEKDAY($B9),Datenblatt!$L$33:$N$39,3,FALSE))</f>
        <v>0</v>
      </c>
      <c r="E9" s="164">
        <f>IF(VLOOKUP($B9,Datenblatt!$A$43:$A$65,1,1)=$B9,0,IF(WEEKDAY($B9)=7,1,IF(WEEKDAY($B9)=1,0,2)))</f>
        <v>0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3" t="str">
        <f>IF(VLOOKUP($B9,Datenblatt!$A$43:$A$66,1,1)=$B9,VLOOKUP($B9,Datenblatt!$A$43:$C$66,3,FALSE)," ")</f>
        <v xml:space="preserve"> </v>
      </c>
      <c r="W9" s="414"/>
      <c r="X9" s="41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6" si="4">B9+1</f>
        <v>46055</v>
      </c>
      <c r="C10" s="163">
        <f t="shared" si="0"/>
        <v>46055</v>
      </c>
      <c r="D10" s="164">
        <f>IF(VLOOKUP($B10,Datenblatt!$A$43:$A$65,1,1)=$B10,0,VLOOKUP(WEEKDAY($B10),Datenblatt!$L$33:$N$39,3,FALSE))</f>
        <v>8</v>
      </c>
      <c r="E10" s="164">
        <f>IF(VLOOKUP($B10,Datenblatt!$A$43:$A$65,1,1)=$B10,0,IF(WEEKDAY($B10)=7,1,IF(WEEKDAY($B10)=1,0,2)))</f>
        <v>2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 xml:space="preserve"> </v>
      </c>
      <c r="W10" s="379"/>
      <c r="X10" s="380"/>
    </row>
    <row r="11" spans="2:128" ht="12.2" customHeight="1">
      <c r="B11" s="162">
        <f t="shared" si="4"/>
        <v>46056</v>
      </c>
      <c r="C11" s="163">
        <f t="shared" si="0"/>
        <v>46056</v>
      </c>
      <c r="D11" s="164">
        <f>IF(VLOOKUP($B11,Datenblatt!$A$43:$A$65,1,1)=$B11,0,VLOOKUP(WEEKDAY($B11),Datenblatt!$L$33:$N$39,3,FALSE))</f>
        <v>8</v>
      </c>
      <c r="E11" s="164">
        <f>IF(VLOOKUP($B11,Datenblatt!$A$43:$A$65,1,1)=$B11,0,IF(WEEKDAY($B11)=7,1,IF(WEEKDAY($B11)=1,0,2)))</f>
        <v>2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416" t="str">
        <f>IF(VLOOKUP($B11,Datenblatt!$A$43:$A$66,1,1)=$B11,VLOOKUP($B11,Datenblatt!$A$43:$C$66,3,FALSE)," ")</f>
        <v xml:space="preserve"> </v>
      </c>
      <c r="W11" s="417"/>
      <c r="X11" s="418"/>
      <c r="AA11" s="179"/>
    </row>
    <row r="12" spans="2:128" ht="12.2" customHeight="1">
      <c r="B12" s="162">
        <f t="shared" si="4"/>
        <v>46057</v>
      </c>
      <c r="C12" s="163">
        <f t="shared" si="0"/>
        <v>46057</v>
      </c>
      <c r="D12" s="164">
        <f>IF(VLOOKUP($B12,Datenblatt!$A$43:$A$65,1,1)=$B12,0,VLOOKUP(WEEKDAY($B12),Datenblatt!$L$33:$N$39,3,FALSE))</f>
        <v>8</v>
      </c>
      <c r="E12" s="164">
        <f>IF(VLOOKUP($B12,Datenblatt!$A$43:$A$65,1,1)=$B12,0,IF(WEEKDAY($B12)=7,1,IF(WEEKDAY($B12)=1,0,2)))</f>
        <v>2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416" t="str">
        <f>IF(VLOOKUP($B12,Datenblatt!$A$43:$A$66,1,1)=$B12,VLOOKUP($B12,Datenblatt!$A$43:$C$66,3,FALSE)," ")</f>
        <v xml:space="preserve"> </v>
      </c>
      <c r="W12" s="417"/>
      <c r="X12" s="418"/>
      <c r="AA12" s="179"/>
    </row>
    <row r="13" spans="2:128" s="161" customFormat="1" ht="12.2" customHeight="1">
      <c r="B13" s="162">
        <f t="shared" si="4"/>
        <v>46058</v>
      </c>
      <c r="C13" s="163">
        <f t="shared" si="0"/>
        <v>46058</v>
      </c>
      <c r="D13" s="164">
        <f>IF(VLOOKUP($B13,Datenblatt!$A$43:$A$65,1,1)=$B13,0,VLOOKUP(WEEKDAY($B13),Datenblatt!$L$33:$N$39,3,FALSE))</f>
        <v>8</v>
      </c>
      <c r="E13" s="164">
        <f>IF(VLOOKUP($B13,Datenblatt!$A$43:$A$65,1,1)=$B13,0,IF(WEEKDAY($B13)=7,1,IF(WEEKDAY($B13)=1,0,2)))</f>
        <v>2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416" t="str">
        <f>IF(VLOOKUP($B13,Datenblatt!$A$43:$A$66,1,1)=$B13,VLOOKUP($B13,Datenblatt!$A$43:$C$66,3,FALSE)," ")</f>
        <v xml:space="preserve"> </v>
      </c>
      <c r="W13" s="417"/>
      <c r="X13" s="418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46059</v>
      </c>
      <c r="C14" s="163">
        <f t="shared" si="0"/>
        <v>46059</v>
      </c>
      <c r="D14" s="164">
        <f>IF(VLOOKUP($B14,Datenblatt!$A$43:$A$65,1,1)=$B14,0,VLOOKUP(WEEKDAY($B14),Datenblatt!$L$33:$N$39,3,FALSE))</f>
        <v>8</v>
      </c>
      <c r="E14" s="164">
        <f>IF(VLOOKUP($B14,Datenblatt!$A$43:$A$65,1,1)=$B14,0,IF(WEEKDAY($B14)=7,1,IF(WEEKDAY($B14)=1,0,2)))</f>
        <v>2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416" t="str">
        <f>IF(VLOOKUP($B14,Datenblatt!$A$43:$A$66,1,1)=$B14,VLOOKUP($B14,Datenblatt!$A$43:$C$66,3,FALSE)," ")</f>
        <v xml:space="preserve"> </v>
      </c>
      <c r="W14" s="417"/>
      <c r="X14" s="418"/>
      <c r="AA14" s="179"/>
    </row>
    <row r="15" spans="2:128" ht="12.2" customHeight="1">
      <c r="B15" s="162">
        <f t="shared" si="4"/>
        <v>46060</v>
      </c>
      <c r="C15" s="163">
        <f t="shared" si="0"/>
        <v>46060</v>
      </c>
      <c r="D15" s="164">
        <f>IF(VLOOKUP($B15,Datenblatt!$A$43:$A$65,1,1)=$B15,0,VLOOKUP(WEEKDAY($B15),Datenblatt!$L$33:$N$39,3,FALSE))</f>
        <v>0</v>
      </c>
      <c r="E15" s="164">
        <f>IF(VLOOKUP($B15,Datenblatt!$A$43:$A$65,1,1)=$B15,0,IF(WEEKDAY($B15)=7,1,IF(WEEKDAY($B15)=1,0,2)))</f>
        <v>1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416" t="str">
        <f>IF(VLOOKUP($B15,Datenblatt!$A$43:$A$66,1,1)=$B15,VLOOKUP($B15,Datenblatt!$A$43:$C$66,3,FALSE)," ")</f>
        <v xml:space="preserve"> </v>
      </c>
      <c r="W15" s="417"/>
      <c r="X15" s="418"/>
      <c r="AA15" s="179"/>
    </row>
    <row r="16" spans="2:128" ht="12.2" customHeight="1">
      <c r="B16" s="162">
        <f t="shared" si="4"/>
        <v>46061</v>
      </c>
      <c r="C16" s="163">
        <f t="shared" si="0"/>
        <v>46061</v>
      </c>
      <c r="D16" s="164">
        <f>IF(VLOOKUP($B16,Datenblatt!$A$43:$A$65,1,1)=$B16,0,VLOOKUP(WEEKDAY($B16),Datenblatt!$L$33:$N$39,3,FALSE))</f>
        <v>0</v>
      </c>
      <c r="E16" s="164">
        <f>IF(VLOOKUP($B16,Datenblatt!$A$43:$A$65,1,1)=$B16,0,IF(WEEKDAY($B16)=7,1,IF(WEEKDAY($B16)=1,0,2)))</f>
        <v>0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416" t="str">
        <f>IF(VLOOKUP($B16,Datenblatt!$A$43:$A$66,1,1)=$B16,VLOOKUP($B16,Datenblatt!$A$43:$C$66,3,FALSE)," ")</f>
        <v xml:space="preserve"> </v>
      </c>
      <c r="W16" s="417"/>
      <c r="X16" s="418"/>
      <c r="AA16" s="179"/>
    </row>
    <row r="17" spans="2:128" ht="12.2" customHeight="1">
      <c r="B17" s="162">
        <f t="shared" si="4"/>
        <v>46062</v>
      </c>
      <c r="C17" s="163">
        <f t="shared" si="0"/>
        <v>46062</v>
      </c>
      <c r="D17" s="164">
        <f>IF(VLOOKUP($B17,Datenblatt!$A$43:$A$65,1,1)=$B17,0,VLOOKUP(WEEKDAY($B17),Datenblatt!$L$33:$N$39,3,FALSE))</f>
        <v>8</v>
      </c>
      <c r="E17" s="164">
        <f>IF(VLOOKUP($B17,Datenblatt!$A$43:$A$65,1,1)=$B17,0,IF(WEEKDAY($B17)=7,1,IF(WEEKDAY($B17)=1,0,2)))</f>
        <v>2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416" t="str">
        <f>IF(VLOOKUP($B17,Datenblatt!$A$43:$A$66,1,1)=$B17,VLOOKUP($B17,Datenblatt!$A$43:$C$66,3,FALSE)," ")</f>
        <v xml:space="preserve"> </v>
      </c>
      <c r="W17" s="417"/>
      <c r="X17" s="418"/>
      <c r="AA17" s="179"/>
    </row>
    <row r="18" spans="2:128" ht="12.2" customHeight="1">
      <c r="B18" s="162">
        <f t="shared" si="4"/>
        <v>46063</v>
      </c>
      <c r="C18" s="163">
        <f t="shared" si="0"/>
        <v>46063</v>
      </c>
      <c r="D18" s="164">
        <f>IF(VLOOKUP($B18,Datenblatt!$A$43:$A$65,1,1)=$B18,0,VLOOKUP(WEEKDAY($B18),Datenblatt!$L$33:$N$39,3,FALSE))</f>
        <v>8</v>
      </c>
      <c r="E18" s="164">
        <f>IF(VLOOKUP($B18,Datenblatt!$A$43:$A$65,1,1)=$B18,0,IF(WEEKDAY($B18)=7,1,IF(WEEKDAY($B18)=1,0,2)))</f>
        <v>2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416" t="str">
        <f>IF(VLOOKUP($B18,Datenblatt!$A$43:$A$66,1,1)=$B18,VLOOKUP($B18,Datenblatt!$A$43:$C$66,3,FALSE)," ")</f>
        <v xml:space="preserve"> </v>
      </c>
      <c r="W18" s="417"/>
      <c r="X18" s="418"/>
      <c r="AA18" s="179"/>
    </row>
    <row r="19" spans="2:128" ht="12.2" customHeight="1">
      <c r="B19" s="162">
        <f t="shared" si="4"/>
        <v>46064</v>
      </c>
      <c r="C19" s="163">
        <f t="shared" si="0"/>
        <v>46064</v>
      </c>
      <c r="D19" s="164">
        <f>IF(VLOOKUP($B19,Datenblatt!$A$43:$A$65,1,1)=$B19,0,VLOOKUP(WEEKDAY($B19),Datenblatt!$L$33:$N$39,3,FALSE))</f>
        <v>8</v>
      </c>
      <c r="E19" s="164">
        <f>IF(VLOOKUP($B19,Datenblatt!$A$43:$A$65,1,1)=$B19,0,IF(WEEKDAY($B19)=7,1,IF(WEEKDAY($B19)=1,0,2)))</f>
        <v>2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416" t="str">
        <f>IF(VLOOKUP($B19,Datenblatt!$A$43:$A$66,1,1)=$B19,VLOOKUP($B19,Datenblatt!$A$43:$C$66,3,FALSE)," ")</f>
        <v xml:space="preserve"> </v>
      </c>
      <c r="W19" s="417"/>
      <c r="X19" s="418"/>
      <c r="AA19" s="179"/>
    </row>
    <row r="20" spans="2:128" ht="12.2" customHeight="1">
      <c r="B20" s="162">
        <f t="shared" si="4"/>
        <v>46065</v>
      </c>
      <c r="C20" s="163">
        <f t="shared" si="0"/>
        <v>46065</v>
      </c>
      <c r="D20" s="164">
        <f>IF(VLOOKUP($B20,Datenblatt!$A$43:$A$65,1,1)=$B20,0,VLOOKUP(WEEKDAY($B20),Datenblatt!$L$33:$N$39,3,FALSE))</f>
        <v>8</v>
      </c>
      <c r="E20" s="164">
        <f>IF(VLOOKUP($B20,Datenblatt!$A$43:$A$65,1,1)=$B20,0,IF(WEEKDAY($B20)=7,1,IF(WEEKDAY($B20)=1,0,2)))</f>
        <v>2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416" t="str">
        <f>IF(VLOOKUP($B20,Datenblatt!$A$43:$A$66,1,1)=$B20,VLOOKUP($B20,Datenblatt!$A$43:$C$66,3,FALSE)," ")</f>
        <v xml:space="preserve"> </v>
      </c>
      <c r="W20" s="417"/>
      <c r="X20" s="418"/>
      <c r="AA20" s="179"/>
    </row>
    <row r="21" spans="2:128" ht="12.2" customHeight="1">
      <c r="B21" s="162">
        <f t="shared" si="4"/>
        <v>46066</v>
      </c>
      <c r="C21" s="163">
        <f t="shared" si="0"/>
        <v>46066</v>
      </c>
      <c r="D21" s="164">
        <f>IF(VLOOKUP($B21,Datenblatt!$A$43:$A$65,1,1)=$B21,0,VLOOKUP(WEEKDAY($B21),Datenblatt!$L$33:$N$39,3,FALSE))</f>
        <v>8</v>
      </c>
      <c r="E21" s="164">
        <f>IF(VLOOKUP($B21,Datenblatt!$A$43:$A$65,1,1)=$B21,0,IF(WEEKDAY($B21)=7,1,IF(WEEKDAY($B21)=1,0,2)))</f>
        <v>2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416" t="str">
        <f>IF(VLOOKUP($B21,Datenblatt!$A$43:$A$66,1,1)=$B21,VLOOKUP($B21,Datenblatt!$A$43:$C$66,3,FALSE)," ")</f>
        <v xml:space="preserve"> </v>
      </c>
      <c r="W21" s="417"/>
      <c r="X21" s="418"/>
      <c r="AA21" s="179"/>
    </row>
    <row r="22" spans="2:128" s="180" customFormat="1" ht="12.2" customHeight="1">
      <c r="B22" s="162">
        <f t="shared" si="4"/>
        <v>46067</v>
      </c>
      <c r="C22" s="163">
        <f t="shared" si="0"/>
        <v>46067</v>
      </c>
      <c r="D22" s="164">
        <f>IF(VLOOKUP($B22,Datenblatt!$A$43:$A$65,1,1)=$B22,0,VLOOKUP(WEEKDAY($B22),Datenblatt!$L$33:$N$39,3,FALSE))</f>
        <v>0</v>
      </c>
      <c r="E22" s="164">
        <f>IF(VLOOKUP($B22,Datenblatt!$A$43:$A$65,1,1)=$B22,0,IF(WEEKDAY($B22)=7,1,IF(WEEKDAY($B22)=1,0,2)))</f>
        <v>1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416" t="str">
        <f>IF(VLOOKUP($B22,Datenblatt!$A$43:$A$66,1,1)=$B22,VLOOKUP($B22,Datenblatt!$A$43:$C$66,3,FALSE)," ")</f>
        <v xml:space="preserve"> </v>
      </c>
      <c r="W22" s="417"/>
      <c r="X22" s="418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46068</v>
      </c>
      <c r="C23" s="163">
        <f t="shared" si="0"/>
        <v>46068</v>
      </c>
      <c r="D23" s="164">
        <f>IF(VLOOKUP($B23,Datenblatt!$A$43:$A$65,1,1)=$B23,0,VLOOKUP(WEEKDAY($B23),Datenblatt!$L$33:$N$39,3,FALSE))</f>
        <v>0</v>
      </c>
      <c r="E23" s="164">
        <f>IF(VLOOKUP($B23,Datenblatt!$A$43:$A$65,1,1)=$B23,0,IF(WEEKDAY($B23)=7,1,IF(WEEKDAY($B23)=1,0,2)))</f>
        <v>0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416" t="str">
        <f>IF(VLOOKUP($B23,Datenblatt!$A$43:$A$66,1,1)=$B23,VLOOKUP($B23,Datenblatt!$A$43:$C$66,3,FALSE)," ")</f>
        <v xml:space="preserve"> </v>
      </c>
      <c r="W23" s="417"/>
      <c r="X23" s="418"/>
      <c r="AA23" s="179"/>
    </row>
    <row r="24" spans="2:128" ht="12.2" customHeight="1">
      <c r="B24" s="162">
        <f t="shared" si="4"/>
        <v>46069</v>
      </c>
      <c r="C24" s="163">
        <f t="shared" si="0"/>
        <v>46069</v>
      </c>
      <c r="D24" s="164">
        <f>IF(VLOOKUP($B24,Datenblatt!$A$43:$A$65,1,1)=$B24,0,VLOOKUP(WEEKDAY($B24),Datenblatt!$L$33:$N$39,3,FALSE))</f>
        <v>8</v>
      </c>
      <c r="E24" s="164">
        <f>IF(VLOOKUP($B24,Datenblatt!$A$43:$A$65,1,1)=$B24,0,IF(WEEKDAY($B24)=7,1,IF(WEEKDAY($B24)=1,0,2)))</f>
        <v>2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416" t="str">
        <f>IF(VLOOKUP($B24,Datenblatt!$A$43:$A$66,1,1)=$B24,VLOOKUP($B24,Datenblatt!$A$43:$C$66,3,FALSE)," ")</f>
        <v xml:space="preserve"> </v>
      </c>
      <c r="W24" s="417"/>
      <c r="X24" s="418"/>
      <c r="AA24" s="179"/>
    </row>
    <row r="25" spans="2:128" ht="12.2" customHeight="1">
      <c r="B25" s="162">
        <f t="shared" si="4"/>
        <v>46070</v>
      </c>
      <c r="C25" s="163">
        <f t="shared" si="0"/>
        <v>46070</v>
      </c>
      <c r="D25" s="164">
        <f>IF(VLOOKUP($B25,Datenblatt!$A$43:$A$65,1,1)=$B25,0,VLOOKUP(WEEKDAY($B25),Datenblatt!$L$33:$N$39,3,FALSE))</f>
        <v>8</v>
      </c>
      <c r="E25" s="164">
        <f>IF(VLOOKUP($B25,Datenblatt!$A$43:$A$65,1,1)=$B25,0,IF(WEEKDAY($B25)=7,1,IF(WEEKDAY($B25)=1,0,2)))</f>
        <v>2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416" t="str">
        <f>IF(VLOOKUP($B25,Datenblatt!$A$43:$A$66,1,1)=$B25,VLOOKUP($B25,Datenblatt!$A$43:$C$66,3,FALSE)," ")</f>
        <v xml:space="preserve"> </v>
      </c>
      <c r="W25" s="417"/>
      <c r="X25" s="418"/>
      <c r="AA25" s="179"/>
    </row>
    <row r="26" spans="2:128" ht="12.2" customHeight="1">
      <c r="B26" s="162">
        <f t="shared" si="4"/>
        <v>46071</v>
      </c>
      <c r="C26" s="163">
        <f t="shared" si="0"/>
        <v>46071</v>
      </c>
      <c r="D26" s="164">
        <f>IF(VLOOKUP($B26,Datenblatt!$A$43:$A$65,1,1)=$B26,0,VLOOKUP(WEEKDAY($B26),Datenblatt!$L$33:$N$39,3,FALSE))</f>
        <v>8</v>
      </c>
      <c r="E26" s="164">
        <f>IF(VLOOKUP($B26,Datenblatt!$A$43:$A$65,1,1)=$B26,0,IF(WEEKDAY($B26)=7,1,IF(WEEKDAY($B26)=1,0,2)))</f>
        <v>2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416" t="str">
        <f>IF(VLOOKUP($B26,Datenblatt!$A$43:$A$66,1,1)=$B26,VLOOKUP($B26,Datenblatt!$A$43:$C$66,3,FALSE)," ")</f>
        <v xml:space="preserve"> </v>
      </c>
      <c r="W26" s="417"/>
      <c r="X26" s="418"/>
      <c r="AA26" s="179"/>
    </row>
    <row r="27" spans="2:128" ht="12.2" customHeight="1">
      <c r="B27" s="162">
        <f t="shared" si="4"/>
        <v>46072</v>
      </c>
      <c r="C27" s="163">
        <f t="shared" si="0"/>
        <v>46072</v>
      </c>
      <c r="D27" s="164">
        <f>IF(VLOOKUP($B27,Datenblatt!$A$43:$A$65,1,1)=$B27,0,VLOOKUP(WEEKDAY($B27),Datenblatt!$L$33:$N$39,3,FALSE))</f>
        <v>8</v>
      </c>
      <c r="E27" s="164">
        <f>IF(VLOOKUP($B27,Datenblatt!$A$43:$A$65,1,1)=$B27,0,IF(WEEKDAY($B27)=7,1,IF(WEEKDAY($B27)=1,0,2)))</f>
        <v>2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416" t="str">
        <f>IF(VLOOKUP($B27,Datenblatt!$A$43:$A$66,1,1)=$B27,VLOOKUP($B27,Datenblatt!$A$43:$C$66,3,FALSE)," ")</f>
        <v xml:space="preserve"> </v>
      </c>
      <c r="W27" s="417"/>
      <c r="X27" s="418"/>
      <c r="AA27" s="179"/>
    </row>
    <row r="28" spans="2:128" ht="12.2" customHeight="1">
      <c r="B28" s="162">
        <f t="shared" si="4"/>
        <v>46073</v>
      </c>
      <c r="C28" s="163">
        <f t="shared" si="0"/>
        <v>46073</v>
      </c>
      <c r="D28" s="164">
        <f>IF(VLOOKUP($B28,Datenblatt!$A$43:$A$65,1,1)=$B28,0,VLOOKUP(WEEKDAY($B28),Datenblatt!$L$33:$N$39,3,FALSE))</f>
        <v>8</v>
      </c>
      <c r="E28" s="164">
        <f>IF(VLOOKUP($B28,Datenblatt!$A$43:$A$65,1,1)=$B28,0,IF(WEEKDAY($B28)=7,1,IF(WEEKDAY($B28)=1,0,2)))</f>
        <v>2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416" t="str">
        <f>IF(VLOOKUP($B28,Datenblatt!$A$43:$A$66,1,1)=$B28,VLOOKUP($B28,Datenblatt!$A$43:$C$66,3,FALSE)," ")</f>
        <v xml:space="preserve"> </v>
      </c>
      <c r="W28" s="417"/>
      <c r="X28" s="418"/>
      <c r="AA28" s="179"/>
    </row>
    <row r="29" spans="2:128" ht="12.2" customHeight="1">
      <c r="B29" s="162">
        <f t="shared" si="4"/>
        <v>46074</v>
      </c>
      <c r="C29" s="163">
        <f t="shared" si="0"/>
        <v>46074</v>
      </c>
      <c r="D29" s="164">
        <f>IF(VLOOKUP($B29,Datenblatt!$A$43:$A$65,1,1)=$B29,0,VLOOKUP(WEEKDAY($B29),Datenblatt!$L$33:$N$39,3,FALSE))</f>
        <v>0</v>
      </c>
      <c r="E29" s="164">
        <f>IF(VLOOKUP($B29,Datenblatt!$A$43:$A$65,1,1)=$B29,0,IF(WEEKDAY($B29)=7,1,IF(WEEKDAY($B29)=1,0,2)))</f>
        <v>1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416" t="str">
        <f>IF(VLOOKUP($B29,Datenblatt!$A$43:$A$66,1,1)=$B29,VLOOKUP($B29,Datenblatt!$A$43:$C$66,3,FALSE)," ")</f>
        <v xml:space="preserve"> </v>
      </c>
      <c r="W29" s="417"/>
      <c r="X29" s="418"/>
      <c r="AA29" s="179"/>
    </row>
    <row r="30" spans="2:128" ht="12.2" customHeight="1">
      <c r="B30" s="162">
        <f t="shared" si="4"/>
        <v>46075</v>
      </c>
      <c r="C30" s="163">
        <f t="shared" si="0"/>
        <v>46075</v>
      </c>
      <c r="D30" s="164">
        <f>IF(VLOOKUP($B30,Datenblatt!$A$43:$A$65,1,1)=$B30,0,VLOOKUP(WEEKDAY($B30),Datenblatt!$L$33:$N$39,3,FALSE))</f>
        <v>0</v>
      </c>
      <c r="E30" s="164">
        <f>IF(VLOOKUP($B30,Datenblatt!$A$43:$A$65,1,1)=$B30,0,IF(WEEKDAY($B30)=7,1,IF(WEEKDAY($B30)=1,0,2)))</f>
        <v>0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416" t="str">
        <f>IF(VLOOKUP($B30,Datenblatt!$A$43:$A$66,1,1)=$B30,VLOOKUP($B30,Datenblatt!$A$43:$C$66,3,FALSE)," ")</f>
        <v xml:space="preserve"> </v>
      </c>
      <c r="W30" s="417"/>
      <c r="X30" s="418"/>
      <c r="AA30" s="179"/>
    </row>
    <row r="31" spans="2:128" ht="12.2" customHeight="1">
      <c r="B31" s="162">
        <f t="shared" si="4"/>
        <v>46076</v>
      </c>
      <c r="C31" s="163">
        <f t="shared" si="0"/>
        <v>46076</v>
      </c>
      <c r="D31" s="164">
        <f>IF(VLOOKUP($B31,Datenblatt!$A$43:$A$65,1,1)=$B31,0,VLOOKUP(WEEKDAY($B31),Datenblatt!$L$33:$N$39,3,FALSE))</f>
        <v>8</v>
      </c>
      <c r="E31" s="164">
        <f>IF(VLOOKUP($B31,Datenblatt!$A$43:$A$65,1,1)=$B31,0,IF(WEEKDAY($B31)=7,1,IF(WEEKDAY($B31)=1,0,2)))</f>
        <v>2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416" t="str">
        <f>IF(VLOOKUP($B31,Datenblatt!$A$43:$A$66,1,1)=$B31,VLOOKUP($B31,Datenblatt!$A$43:$C$66,3,FALSE)," ")</f>
        <v xml:space="preserve"> </v>
      </c>
      <c r="W31" s="417"/>
      <c r="X31" s="418"/>
      <c r="AA31" s="179"/>
    </row>
    <row r="32" spans="2:128" ht="12.2" customHeight="1">
      <c r="B32" s="162">
        <f t="shared" si="4"/>
        <v>46077</v>
      </c>
      <c r="C32" s="163">
        <f t="shared" si="0"/>
        <v>46077</v>
      </c>
      <c r="D32" s="164">
        <f>IF(VLOOKUP($B32,Datenblatt!$A$43:$A$65,1,1)=$B32,0,VLOOKUP(WEEKDAY($B32),Datenblatt!$L$33:$N$39,3,FALSE))</f>
        <v>8</v>
      </c>
      <c r="E32" s="164">
        <f>IF(VLOOKUP($B32,Datenblatt!$A$43:$A$65,1,1)=$B32,0,IF(WEEKDAY($B32)=7,1,IF(WEEKDAY($B32)=1,0,2)))</f>
        <v>2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416" t="str">
        <f>IF(VLOOKUP($B32,Datenblatt!$A$43:$A$66,1,1)=$B32,VLOOKUP($B32,Datenblatt!$A$43:$C$66,3,FALSE)," ")</f>
        <v xml:space="preserve"> </v>
      </c>
      <c r="W32" s="417"/>
      <c r="X32" s="418"/>
      <c r="AA32" s="179"/>
    </row>
    <row r="33" spans="2:128" ht="12.2" customHeight="1">
      <c r="B33" s="162">
        <f t="shared" si="4"/>
        <v>46078</v>
      </c>
      <c r="C33" s="163">
        <f t="shared" si="0"/>
        <v>46078</v>
      </c>
      <c r="D33" s="164">
        <f>IF(VLOOKUP($B33,Datenblatt!$A$43:$A$65,1,1)=$B33,0,VLOOKUP(WEEKDAY($B33),Datenblatt!$L$33:$N$39,3,FALSE))</f>
        <v>8</v>
      </c>
      <c r="E33" s="164">
        <f>IF(VLOOKUP($B33,Datenblatt!$A$43:$A$65,1,1)=$B33,0,IF(WEEKDAY($B33)=7,1,IF(WEEKDAY($B33)=1,0,2)))</f>
        <v>2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416" t="str">
        <f>IF(VLOOKUP($B33,Datenblatt!$A$43:$A$66,1,1)=$B33,VLOOKUP($B33,Datenblatt!$A$43:$C$66,3,FALSE)," ")</f>
        <v xml:space="preserve"> </v>
      </c>
      <c r="W33" s="417"/>
      <c r="X33" s="418"/>
      <c r="AA33" s="179"/>
    </row>
    <row r="34" spans="2:128" ht="12.2" customHeight="1">
      <c r="B34" s="162">
        <f t="shared" si="4"/>
        <v>46079</v>
      </c>
      <c r="C34" s="163">
        <f t="shared" si="0"/>
        <v>46079</v>
      </c>
      <c r="D34" s="164">
        <f>IF(VLOOKUP($B34,Datenblatt!$A$43:$A$65,1,1)=$B34,0,VLOOKUP(WEEKDAY($B34),Datenblatt!$L$33:$N$39,3,FALSE))</f>
        <v>8</v>
      </c>
      <c r="E34" s="164">
        <f>IF(VLOOKUP($B34,Datenblatt!$A$43:$A$65,1,1)=$B34,0,IF(WEEKDAY($B34)=7,1,IF(WEEKDAY($B34)=1,0,2)))</f>
        <v>2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416" t="str">
        <f>IF(VLOOKUP($B34,Datenblatt!$A$43:$A$66,1,1)=$B34,VLOOKUP($B34,Datenblatt!$A$43:$C$66,3,FALSE)," ")</f>
        <v xml:space="preserve"> </v>
      </c>
      <c r="W34" s="417"/>
      <c r="X34" s="418"/>
      <c r="AA34" s="179"/>
    </row>
    <row r="35" spans="2:128" ht="12.2" customHeight="1">
      <c r="B35" s="162">
        <f t="shared" si="4"/>
        <v>46080</v>
      </c>
      <c r="C35" s="163">
        <f t="shared" si="0"/>
        <v>46080</v>
      </c>
      <c r="D35" s="164">
        <f>IF(VLOOKUP($B35,Datenblatt!$A$43:$A$65,1,1)=$B35,0,VLOOKUP(WEEKDAY($B35),Datenblatt!$L$33:$N$39,3,FALSE))</f>
        <v>8</v>
      </c>
      <c r="E35" s="164">
        <f>IF(VLOOKUP($B35,Datenblatt!$A$43:$A$65,1,1)=$B35,0,IF(WEEKDAY($B35)=7,1,IF(WEEKDAY($B35)=1,0,2)))</f>
        <v>2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416" t="str">
        <f>IF(VLOOKUP($B35,Datenblatt!$A$43:$A$66,1,1)=$B35,VLOOKUP($B35,Datenblatt!$A$43:$C$66,3,FALSE)," ")</f>
        <v xml:space="preserve"> </v>
      </c>
      <c r="W35" s="417"/>
      <c r="X35" s="418"/>
      <c r="AA35" s="179"/>
    </row>
    <row r="36" spans="2:128" ht="12.2" customHeight="1">
      <c r="B36" s="162">
        <f t="shared" si="4"/>
        <v>46081</v>
      </c>
      <c r="C36" s="163">
        <f t="shared" si="0"/>
        <v>46081</v>
      </c>
      <c r="D36" s="164">
        <f>IF(VLOOKUP($B36,Datenblatt!$A$43:$A$65,1,1)=$B36,0,VLOOKUP(WEEKDAY($B36),Datenblatt!$L$33:$N$39,3,FALSE))</f>
        <v>0</v>
      </c>
      <c r="E36" s="164">
        <f>IF(VLOOKUP($B36,Datenblatt!$A$43:$A$65,1,1)=$B36,0,IF(WEEKDAY($B36)=7,1,IF(WEEKDAY($B36)=1,0,2)))</f>
        <v>1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416" t="str">
        <f>IF(VLOOKUP($B36,Datenblatt!$A$43:$A$66,1,1)=$B36,VLOOKUP($B36,Datenblatt!$A$43:$C$66,3,FALSE)," ")</f>
        <v xml:space="preserve"> </v>
      </c>
      <c r="W36" s="417"/>
      <c r="X36" s="418"/>
      <c r="AA36" s="179"/>
    </row>
    <row r="37" spans="2:128" ht="12.2" customHeight="1">
      <c r="B37" s="162" t="str">
        <f>IF(MONTH(B36+1)=MONTH(B36),B36+1,"")</f>
        <v/>
      </c>
      <c r="C37" s="163" t="str">
        <f t="shared" si="0"/>
        <v/>
      </c>
      <c r="D37" s="164">
        <f>IF(B37="",0,IF(VLOOKUP($B37,Datenblatt!$A$43:$A$65,1,1)=$B37,0,VLOOKUP(WEEKDAY($B37),Datenblatt!$L$33:$N$39,3,FALSE)))</f>
        <v>0</v>
      </c>
      <c r="E37" s="164">
        <f>IF(B37="",2,IF(VLOOKUP($B37,Datenblatt!$A$43:$A$65,1,1)=$B37,0,IF(WEEKDAY($B37)=7,1,IF(WEEKDAY($B37)=1,0,2))))</f>
        <v>2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416"/>
      <c r="W37" s="417"/>
      <c r="X37" s="418"/>
      <c r="AA37" s="179"/>
    </row>
    <row r="38" spans="2:128" ht="12.2" customHeight="1">
      <c r="B38" s="162"/>
      <c r="C38" s="163"/>
      <c r="D38" s="164"/>
      <c r="E38" s="164"/>
      <c r="F38" s="206"/>
      <c r="G38" s="207"/>
      <c r="H38" s="208"/>
      <c r="I38" s="209"/>
      <c r="J38" s="208"/>
      <c r="K38" s="209"/>
      <c r="L38" s="210"/>
      <c r="M38" s="211"/>
      <c r="N38" s="212"/>
      <c r="O38" s="212"/>
      <c r="P38" s="213"/>
      <c r="Q38" s="214"/>
      <c r="R38" s="177" t="str">
        <f t="shared" si="1"/>
        <v/>
      </c>
      <c r="S38" s="178" t="str">
        <f t="shared" si="2"/>
        <v/>
      </c>
      <c r="T38" s="175" t="str">
        <f t="shared" si="3"/>
        <v/>
      </c>
      <c r="U38" s="176"/>
      <c r="V38" s="416"/>
      <c r="W38" s="417"/>
      <c r="X38" s="418"/>
      <c r="AA38" s="179"/>
    </row>
    <row r="39" spans="2:128" ht="12.2" customHeight="1" thickBot="1">
      <c r="B39" s="162"/>
      <c r="C39" s="163"/>
      <c r="D39" s="164"/>
      <c r="E39" s="164"/>
      <c r="F39" s="206"/>
      <c r="G39" s="207"/>
      <c r="H39" s="208"/>
      <c r="I39" s="209"/>
      <c r="J39" s="208"/>
      <c r="K39" s="209"/>
      <c r="L39" s="210"/>
      <c r="M39" s="211"/>
      <c r="N39" s="212"/>
      <c r="O39" s="212"/>
      <c r="P39" s="213"/>
      <c r="Q39" s="214"/>
      <c r="R39" s="177" t="str">
        <f t="shared" si="1"/>
        <v/>
      </c>
      <c r="S39" s="178" t="str">
        <f t="shared" si="2"/>
        <v/>
      </c>
      <c r="T39" s="175" t="str">
        <f t="shared" si="3"/>
        <v/>
      </c>
      <c r="U39" s="176"/>
      <c r="V39" s="428"/>
      <c r="W39" s="429"/>
      <c r="X39" s="430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412"/>
      <c r="X40" s="41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20  Arbeitstage in diesem Monat</v>
      </c>
      <c r="C41" s="191"/>
      <c r="D41" s="192"/>
      <c r="E41" s="192"/>
      <c r="F41" s="192"/>
      <c r="G41" s="193"/>
      <c r="H41" s="24"/>
      <c r="I41" s="66"/>
      <c r="J41" s="66"/>
      <c r="K41" s="66"/>
      <c r="L41" s="66"/>
      <c r="M41" s="24" t="str">
        <f>"Sollstunden für Feber "&amp;Datenblatt!$F$5&amp;":"</f>
        <v>Sollstunden für Feber 2026:</v>
      </c>
      <c r="N41" s="66"/>
      <c r="O41" s="66"/>
      <c r="P41" s="194"/>
      <c r="R41" s="195"/>
      <c r="S41" s="398">
        <f>SUM(D9:D39)</f>
        <v>160</v>
      </c>
      <c r="T41" s="398"/>
      <c r="U41" s="196"/>
      <c r="V41" s="196"/>
      <c r="W41" s="197"/>
      <c r="X41" s="130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20" t="s">
        <v>239</v>
      </c>
      <c r="J42" s="420"/>
      <c r="K42" s="198"/>
      <c r="M42" s="198" t="str">
        <f>IF(S42&gt;=0,"Zeitguthaben im Monat Feber "&amp;Datenblatt!F5&amp;":   ","Zeitdefizit im Monat Feber "&amp;Datenblatt!F5&amp;":   ")</f>
        <v xml:space="preserve">Zeitguthaben im Monat Feber 2026:   </v>
      </c>
      <c r="N42" s="198"/>
      <c r="O42" s="198"/>
      <c r="R42" s="199"/>
      <c r="S42" s="421" t="s">
        <v>239</v>
      </c>
      <c r="T42" s="421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Jänner "&amp;Datenblatt!F5-1&amp;":   ","  - Zeitdefizit aus Jänner "&amp;Datenblatt!F5&amp;":   ")</f>
        <v xml:space="preserve">  + Zeitguthaben aus Jänner 2025:   </v>
      </c>
      <c r="S43" s="427" t="str">
        <f>Jän!S44</f>
        <v>________ h</v>
      </c>
      <c r="T43" s="427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198" t="str">
        <f>"Übertrag für März "&amp;Datenblatt!F5</f>
        <v>Übertrag für März 2026</v>
      </c>
      <c r="R44" s="204"/>
      <c r="S44" s="423" t="s">
        <v>239</v>
      </c>
      <c r="T44" s="423"/>
      <c r="U44" s="200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19">
        <f ca="1">TODAY()</f>
        <v>45935</v>
      </c>
      <c r="H45" s="419"/>
      <c r="I45" s="419"/>
      <c r="T45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G45:I45"/>
    <mergeCell ref="I42:J42"/>
    <mergeCell ref="S42:T42"/>
    <mergeCell ref="S43:T43"/>
    <mergeCell ref="S44:T44"/>
    <mergeCell ref="W7:W8"/>
    <mergeCell ref="F7:G7"/>
    <mergeCell ref="S7:S8"/>
    <mergeCell ref="X7:X8"/>
    <mergeCell ref="W40:X40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S41:T41"/>
    <mergeCell ref="L2:P2"/>
    <mergeCell ref="T4:U4"/>
    <mergeCell ref="T5:U5"/>
    <mergeCell ref="H7:M7"/>
    <mergeCell ref="N7:O7"/>
    <mergeCell ref="P7:P8"/>
    <mergeCell ref="Q7:Q8"/>
  </mergeCells>
  <phoneticPr fontId="2" type="noConversion"/>
  <conditionalFormatting sqref="A15 DY15:IV15">
    <cfRule type="cellIs" dxfId="70" priority="1" stopIfTrue="1" operator="equal">
      <formula>MATCH($E15,0)</formula>
    </cfRule>
    <cfRule type="expression" dxfId="69" priority="2" stopIfTrue="1">
      <formula>"WOCHENTAG($B8)=1"</formula>
    </cfRule>
    <cfRule type="expression" dxfId="68" priority="3" stopIfTrue="1">
      <formula>"WOCHENTAG($B8)=7"</formula>
    </cfRule>
  </conditionalFormatting>
  <conditionalFormatting sqref="B9:C37">
    <cfRule type="expression" dxfId="67" priority="8" stopIfTrue="1">
      <formula>($E9=1)</formula>
    </cfRule>
  </conditionalFormatting>
  <conditionalFormatting sqref="V9 B9:T37 V10:X10 V11:V37">
    <cfRule type="expression" dxfId="66" priority="4" stopIfTrue="1">
      <formula>($E9=0)</formula>
    </cfRule>
    <cfRule type="expression" dxfId="65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X48"/>
  <sheetViews>
    <sheetView showGridLines="0" workbookViewId="0">
      <pane ySplit="8" topLeftCell="A9" activePane="bottomLeft" state="frozen"/>
      <selection activeCell="V13" sqref="V13:X13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140625" style="94" customWidth="1"/>
    <col min="4" max="4" width="0.28515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399">
        <f>DATE(Datenblatt!F5,3,1)</f>
        <v>46082</v>
      </c>
      <c r="M2" s="399"/>
      <c r="N2" s="399"/>
      <c r="O2" s="399"/>
      <c r="P2" s="399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"&amp;Datenblatt!$Q$33&amp;";"&amp;"    Di: "&amp;Datenblatt!$Q$34&amp;";"&amp;"    Mi: "&amp;Datenblatt!$Q$35&amp;";"&amp;"    Do: "&amp;Datenblatt!$Q$36&amp;";"&amp;"    Fr: "&amp;Datenblatt!$Q$37&amp;";"&amp;"    Sa: "&amp;Datenblatt!$Q$38&amp;";"&amp;"    So: "&amp;Datenblatt!$Q$39&amp;""&amp;"     -    Wochenarbeitszeit:  "&amp;Datenblatt!$Q$40&amp;" h"</f>
        <v>Arbeitsstunden/Tag:  Mo: 8;    Di: 8;    Mi: 8;    Do: 8;    Fr: 8;    Sa: 0;    So: 0     -    Wochenarbeitszeit:  40 h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01" t="s">
        <v>238</v>
      </c>
      <c r="U4" s="401"/>
      <c r="V4" s="147"/>
      <c r="W4" s="148" t="str">
        <f>"Urlaubsanspruch per 01.03."&amp;Datenblatt!$F$5</f>
        <v>Urlaubsanspruch per 01.03.2026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"&amp;IF(Datenblatt!Q42=1,Datenblatt!D34,IF(Datenblatt!Q42=2,Datenblatt!D35,IF(Datenblatt!Q42=3,Datenblatt!D36,IF(Datenblatt!Q42=4,Datenblatt!D37))))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01" t="s">
        <v>238</v>
      </c>
      <c r="U5" s="401"/>
      <c r="V5" s="147"/>
      <c r="W5" s="149" t="str">
        <f>"Resturlaub per 31.03."&amp;Datenblatt!$F$5</f>
        <v>Resturlaub per 31.03.2026</v>
      </c>
      <c r="X5" s="130" t="s">
        <v>144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408" t="s">
        <v>126</v>
      </c>
      <c r="G7" s="408"/>
      <c r="H7" s="402" t="s">
        <v>127</v>
      </c>
      <c r="I7" s="402"/>
      <c r="J7" s="402"/>
      <c r="K7" s="402"/>
      <c r="L7" s="402"/>
      <c r="M7" s="402"/>
      <c r="N7" s="403" t="s">
        <v>128</v>
      </c>
      <c r="O7" s="403"/>
      <c r="P7" s="404" t="s">
        <v>129</v>
      </c>
      <c r="Q7" s="405" t="s">
        <v>130</v>
      </c>
      <c r="R7" s="150" t="s">
        <v>131</v>
      </c>
      <c r="S7" s="409" t="s">
        <v>132</v>
      </c>
      <c r="T7" s="151" t="s">
        <v>133</v>
      </c>
      <c r="U7" s="152"/>
      <c r="V7" s="350"/>
      <c r="W7" s="406" t="s">
        <v>134</v>
      </c>
      <c r="X7" s="410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04"/>
      <c r="Q8" s="405"/>
      <c r="R8" s="158" t="s">
        <v>138</v>
      </c>
      <c r="S8" s="409"/>
      <c r="T8" s="159" t="s">
        <v>138</v>
      </c>
      <c r="U8" s="160"/>
      <c r="V8" s="351"/>
      <c r="W8" s="407"/>
      <c r="X8" s="411"/>
    </row>
    <row r="9" spans="2:128" s="161" customFormat="1" ht="12.2" customHeight="1">
      <c r="B9" s="162">
        <f>L2</f>
        <v>46082</v>
      </c>
      <c r="C9" s="163">
        <f t="shared" ref="C9:C39" si="0">B9</f>
        <v>46082</v>
      </c>
      <c r="D9" s="164">
        <f>IF(VLOOKUP($B9,Datenblatt!$A$43:$A$65,1,1)=$B9,0,VLOOKUP(WEEKDAY($B9),Datenblatt!$O$33:$Q$39,3,FALSE))</f>
        <v>0</v>
      </c>
      <c r="E9" s="164">
        <f>IF(VLOOKUP($B9,Datenblatt!$A$43:$A$65,1,1)=$B9,0,IF(WEEKDAY($B9)=7,1,IF(WEEKDAY($B9)=1,0,2)))</f>
        <v>0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3" t="str">
        <f>IF(VLOOKUP($B9,Datenblatt!$A$43:$A$66,1,1)=$B9,VLOOKUP($B9,Datenblatt!$A$43:$C$66,3,FALSE)," ")</f>
        <v xml:space="preserve"> </v>
      </c>
      <c r="W9" s="414"/>
      <c r="X9" s="41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9" si="4">B9+1</f>
        <v>46083</v>
      </c>
      <c r="C10" s="163">
        <f t="shared" si="0"/>
        <v>46083</v>
      </c>
      <c r="D10" s="164">
        <f>IF(VLOOKUP($B10,Datenblatt!$A$43:$A$65,1,1)=$B10,0,VLOOKUP(WEEKDAY($B10),Datenblatt!$O$33:$Q$39,3,FALSE))</f>
        <v>8</v>
      </c>
      <c r="E10" s="164">
        <f>IF(VLOOKUP($B10,Datenblatt!$A$43:$A$65,1,1)=$B10,0,IF(WEEKDAY($B10)=7,1,IF(WEEKDAY($B10)=1,0,2)))</f>
        <v>2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 xml:space="preserve"> </v>
      </c>
      <c r="W10" s="379"/>
      <c r="X10" s="380"/>
    </row>
    <row r="11" spans="2:128" ht="12.2" customHeight="1">
      <c r="B11" s="162">
        <f t="shared" si="4"/>
        <v>46084</v>
      </c>
      <c r="C11" s="163">
        <f t="shared" si="0"/>
        <v>46084</v>
      </c>
      <c r="D11" s="164">
        <f>IF(VLOOKUP($B11,Datenblatt!$A$43:$A$65,1,1)=$B11,0,VLOOKUP(WEEKDAY($B11),Datenblatt!$O$33:$Q$39,3,FALSE))</f>
        <v>8</v>
      </c>
      <c r="E11" s="164">
        <f>IF(VLOOKUP($B11,Datenblatt!$A$43:$A$65,1,1)=$B11,0,IF(WEEKDAY($B11)=7,1,IF(WEEKDAY($B11)=1,0,2)))</f>
        <v>2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416" t="str">
        <f>IF(VLOOKUP($B11,Datenblatt!$A$43:$A$66,1,1)=$B11,VLOOKUP($B11,Datenblatt!$A$43:$C$66,3,FALSE)," ")</f>
        <v xml:space="preserve"> </v>
      </c>
      <c r="W11" s="417"/>
      <c r="X11" s="418"/>
      <c r="AA11" s="179"/>
    </row>
    <row r="12" spans="2:128" ht="12.2" customHeight="1">
      <c r="B12" s="162">
        <f t="shared" si="4"/>
        <v>46085</v>
      </c>
      <c r="C12" s="163">
        <f t="shared" si="0"/>
        <v>46085</v>
      </c>
      <c r="D12" s="164">
        <f>IF(VLOOKUP($B12,Datenblatt!$A$43:$A$65,1,1)=$B12,0,VLOOKUP(WEEKDAY($B12),Datenblatt!$O$33:$Q$39,3,FALSE))</f>
        <v>8</v>
      </c>
      <c r="E12" s="164">
        <f>IF(VLOOKUP($B12,Datenblatt!$A$43:$A$65,1,1)=$B12,0,IF(WEEKDAY($B12)=7,1,IF(WEEKDAY($B12)=1,0,2)))</f>
        <v>2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416" t="str">
        <f>IF(VLOOKUP($B12,Datenblatt!$A$43:$A$66,1,1)=$B12,VLOOKUP($B12,Datenblatt!$A$43:$C$66,3,FALSE)," ")</f>
        <v xml:space="preserve"> </v>
      </c>
      <c r="W12" s="417"/>
      <c r="X12" s="418"/>
      <c r="AA12" s="179"/>
    </row>
    <row r="13" spans="2:128" s="161" customFormat="1" ht="12.2" customHeight="1">
      <c r="B13" s="162">
        <f t="shared" si="4"/>
        <v>46086</v>
      </c>
      <c r="C13" s="163">
        <f t="shared" si="0"/>
        <v>46086</v>
      </c>
      <c r="D13" s="164">
        <f>IF(VLOOKUP($B13,Datenblatt!$A$43:$A$65,1,1)=$B13,0,VLOOKUP(WEEKDAY($B13),Datenblatt!$O$33:$Q$39,3,FALSE))</f>
        <v>8</v>
      </c>
      <c r="E13" s="164">
        <f>IF(VLOOKUP($B13,Datenblatt!$A$43:$A$65,1,1)=$B13,0,IF(WEEKDAY($B13)=7,1,IF(WEEKDAY($B13)=1,0,2)))</f>
        <v>2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416" t="str">
        <f>IF(VLOOKUP($B13,Datenblatt!$A$43:$A$66,1,1)=$B13,VLOOKUP($B13,Datenblatt!$A$43:$C$66,3,FALSE)," ")</f>
        <v xml:space="preserve"> </v>
      </c>
      <c r="W13" s="417"/>
      <c r="X13" s="418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46087</v>
      </c>
      <c r="C14" s="163">
        <f t="shared" si="0"/>
        <v>46087</v>
      </c>
      <c r="D14" s="164">
        <f>IF(VLOOKUP($B14,Datenblatt!$A$43:$A$65,1,1)=$B14,0,VLOOKUP(WEEKDAY($B14),Datenblatt!$O$33:$Q$39,3,FALSE))</f>
        <v>8</v>
      </c>
      <c r="E14" s="164">
        <f>IF(VLOOKUP($B14,Datenblatt!$A$43:$A$65,1,1)=$B14,0,IF(WEEKDAY($B14)=7,1,IF(WEEKDAY($B14)=1,0,2)))</f>
        <v>2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416" t="str">
        <f>IF(VLOOKUP($B14,Datenblatt!$A$43:$A$66,1,1)=$B14,VLOOKUP($B14,Datenblatt!$A$43:$C$66,3,FALSE)," ")</f>
        <v xml:space="preserve"> </v>
      </c>
      <c r="W14" s="417"/>
      <c r="X14" s="418"/>
      <c r="AA14" s="179"/>
    </row>
    <row r="15" spans="2:128" ht="12.2" customHeight="1">
      <c r="B15" s="162">
        <f t="shared" si="4"/>
        <v>46088</v>
      </c>
      <c r="C15" s="163">
        <f t="shared" si="0"/>
        <v>46088</v>
      </c>
      <c r="D15" s="164">
        <f>IF(VLOOKUP($B15,Datenblatt!$A$43:$A$65,1,1)=$B15,0,VLOOKUP(WEEKDAY($B15),Datenblatt!$O$33:$Q$39,3,FALSE))</f>
        <v>0</v>
      </c>
      <c r="E15" s="164">
        <f>IF(VLOOKUP($B15,Datenblatt!$A$43:$A$65,1,1)=$B15,0,IF(WEEKDAY($B15)=7,1,IF(WEEKDAY($B15)=1,0,2)))</f>
        <v>1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416" t="str">
        <f>IF(VLOOKUP($B15,Datenblatt!$A$43:$A$66,1,1)=$B15,VLOOKUP($B15,Datenblatt!$A$43:$C$66,3,FALSE)," ")</f>
        <v xml:space="preserve"> </v>
      </c>
      <c r="W15" s="417"/>
      <c r="X15" s="418"/>
      <c r="AA15" s="179"/>
    </row>
    <row r="16" spans="2:128" ht="12.2" customHeight="1">
      <c r="B16" s="162">
        <f t="shared" si="4"/>
        <v>46089</v>
      </c>
      <c r="C16" s="163">
        <f t="shared" si="0"/>
        <v>46089</v>
      </c>
      <c r="D16" s="164">
        <f>IF(VLOOKUP($B16,Datenblatt!$A$43:$A$65,1,1)=$B16,0,VLOOKUP(WEEKDAY($B16),Datenblatt!$O$33:$Q$39,3,FALSE))</f>
        <v>0</v>
      </c>
      <c r="E16" s="164">
        <f>IF(VLOOKUP($B16,Datenblatt!$A$43:$A$65,1,1)=$B16,0,IF(WEEKDAY($B16)=7,1,IF(WEEKDAY($B16)=1,0,2)))</f>
        <v>0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416" t="str">
        <f>IF(VLOOKUP($B16,Datenblatt!$A$43:$A$66,1,1)=$B16,VLOOKUP($B16,Datenblatt!$A$43:$C$66,3,FALSE)," ")</f>
        <v xml:space="preserve"> </v>
      </c>
      <c r="W16" s="417"/>
      <c r="X16" s="418"/>
      <c r="AA16" s="179"/>
    </row>
    <row r="17" spans="2:128" ht="12.2" customHeight="1">
      <c r="B17" s="162">
        <f t="shared" si="4"/>
        <v>46090</v>
      </c>
      <c r="C17" s="163">
        <f t="shared" si="0"/>
        <v>46090</v>
      </c>
      <c r="D17" s="164">
        <f>IF(VLOOKUP($B17,Datenblatt!$A$43:$A$65,1,1)=$B17,0,VLOOKUP(WEEKDAY($B17),Datenblatt!$O$33:$Q$39,3,FALSE))</f>
        <v>8</v>
      </c>
      <c r="E17" s="164">
        <f>IF(VLOOKUP($B17,Datenblatt!$A$43:$A$65,1,1)=$B17,0,IF(WEEKDAY($B17)=7,1,IF(WEEKDAY($B17)=1,0,2)))</f>
        <v>2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416" t="str">
        <f>IF(VLOOKUP($B17,Datenblatt!$A$43:$A$66,1,1)=$B17,VLOOKUP($B17,Datenblatt!$A$43:$C$66,3,FALSE)," ")</f>
        <v xml:space="preserve"> </v>
      </c>
      <c r="W17" s="417"/>
      <c r="X17" s="418"/>
      <c r="AA17" s="179"/>
    </row>
    <row r="18" spans="2:128" ht="12.2" customHeight="1">
      <c r="B18" s="162">
        <f t="shared" si="4"/>
        <v>46091</v>
      </c>
      <c r="C18" s="163">
        <f t="shared" si="0"/>
        <v>46091</v>
      </c>
      <c r="D18" s="164">
        <f>IF(VLOOKUP($B18,Datenblatt!$A$43:$A$65,1,1)=$B18,0,VLOOKUP(WEEKDAY($B18),Datenblatt!$O$33:$Q$39,3,FALSE))</f>
        <v>8</v>
      </c>
      <c r="E18" s="164">
        <f>IF(VLOOKUP($B18,Datenblatt!$A$43:$A$65,1,1)=$B18,0,IF(WEEKDAY($B18)=7,1,IF(WEEKDAY($B18)=1,0,2)))</f>
        <v>2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416" t="str">
        <f>IF(VLOOKUP($B18,Datenblatt!$A$43:$A$66,1,1)=$B18,VLOOKUP($B18,Datenblatt!$A$43:$C$66,3,FALSE)," ")</f>
        <v xml:space="preserve"> </v>
      </c>
      <c r="W18" s="417"/>
      <c r="X18" s="418"/>
      <c r="AA18" s="179"/>
    </row>
    <row r="19" spans="2:128" ht="12.2" customHeight="1">
      <c r="B19" s="162">
        <f t="shared" si="4"/>
        <v>46092</v>
      </c>
      <c r="C19" s="163">
        <f t="shared" si="0"/>
        <v>46092</v>
      </c>
      <c r="D19" s="164">
        <f>IF(VLOOKUP($B19,Datenblatt!$A$43:$A$65,1,1)=$B19,0,VLOOKUP(WEEKDAY($B19),Datenblatt!$O$33:$Q$39,3,FALSE))</f>
        <v>8</v>
      </c>
      <c r="E19" s="164">
        <f>IF(VLOOKUP($B19,Datenblatt!$A$43:$A$65,1,1)=$B19,0,IF(WEEKDAY($B19)=7,1,IF(WEEKDAY($B19)=1,0,2)))</f>
        <v>2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416" t="str">
        <f>IF(VLOOKUP($B19,Datenblatt!$A$43:$A$66,1,1)=$B19,VLOOKUP($B19,Datenblatt!$A$43:$C$66,3,FALSE)," ")</f>
        <v xml:space="preserve"> </v>
      </c>
      <c r="W19" s="417"/>
      <c r="X19" s="418"/>
      <c r="AA19" s="179"/>
    </row>
    <row r="20" spans="2:128" ht="12.2" customHeight="1">
      <c r="B20" s="162">
        <f t="shared" si="4"/>
        <v>46093</v>
      </c>
      <c r="C20" s="163">
        <f t="shared" si="0"/>
        <v>46093</v>
      </c>
      <c r="D20" s="164">
        <f>IF(VLOOKUP($B20,Datenblatt!$A$43:$A$65,1,1)=$B20,0,VLOOKUP(WEEKDAY($B20),Datenblatt!$O$33:$Q$39,3,FALSE))</f>
        <v>8</v>
      </c>
      <c r="E20" s="164">
        <f>IF(VLOOKUP($B20,Datenblatt!$A$43:$A$65,1,1)=$B20,0,IF(WEEKDAY($B20)=7,1,IF(WEEKDAY($B20)=1,0,2)))</f>
        <v>2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416" t="str">
        <f>IF(VLOOKUP($B20,Datenblatt!$A$43:$A$66,1,1)=$B20,VLOOKUP($B20,Datenblatt!$A$43:$C$66,3,FALSE)," ")</f>
        <v xml:space="preserve"> </v>
      </c>
      <c r="W20" s="417"/>
      <c r="X20" s="418"/>
      <c r="AA20" s="179"/>
    </row>
    <row r="21" spans="2:128" ht="12.2" customHeight="1">
      <c r="B21" s="162">
        <f t="shared" si="4"/>
        <v>46094</v>
      </c>
      <c r="C21" s="163">
        <f t="shared" si="0"/>
        <v>46094</v>
      </c>
      <c r="D21" s="164">
        <f>IF(VLOOKUP($B21,Datenblatt!$A$43:$A$65,1,1)=$B21,0,VLOOKUP(WEEKDAY($B21),Datenblatt!$O$33:$Q$39,3,FALSE))</f>
        <v>8</v>
      </c>
      <c r="E21" s="164">
        <f>IF(VLOOKUP($B21,Datenblatt!$A$43:$A$65,1,1)=$B21,0,IF(WEEKDAY($B21)=7,1,IF(WEEKDAY($B21)=1,0,2)))</f>
        <v>2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416" t="str">
        <f>IF(VLOOKUP($B21,Datenblatt!$A$43:$A$66,1,1)=$B21,VLOOKUP($B21,Datenblatt!$A$43:$C$66,3,FALSE)," ")</f>
        <v xml:space="preserve"> </v>
      </c>
      <c r="W21" s="417"/>
      <c r="X21" s="418"/>
      <c r="AA21" s="179"/>
    </row>
    <row r="22" spans="2:128" s="180" customFormat="1" ht="12.2" customHeight="1">
      <c r="B22" s="162">
        <f t="shared" si="4"/>
        <v>46095</v>
      </c>
      <c r="C22" s="163">
        <f t="shared" si="0"/>
        <v>46095</v>
      </c>
      <c r="D22" s="164">
        <f>IF(VLOOKUP($B22,Datenblatt!$A$43:$A$65,1,1)=$B22,0,VLOOKUP(WEEKDAY($B22),Datenblatt!$O$33:$Q$39,3,FALSE))</f>
        <v>0</v>
      </c>
      <c r="E22" s="164">
        <f>IF(VLOOKUP($B22,Datenblatt!$A$43:$A$65,1,1)=$B22,0,IF(WEEKDAY($B22)=7,1,IF(WEEKDAY($B22)=1,0,2)))</f>
        <v>1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416" t="str">
        <f>IF(VLOOKUP($B22,Datenblatt!$A$43:$A$66,1,1)=$B22,VLOOKUP($B22,Datenblatt!$A$43:$C$66,3,FALSE)," ")</f>
        <v xml:space="preserve"> </v>
      </c>
      <c r="W22" s="417"/>
      <c r="X22" s="418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46096</v>
      </c>
      <c r="C23" s="163">
        <f t="shared" si="0"/>
        <v>46096</v>
      </c>
      <c r="D23" s="164">
        <f>IF(VLOOKUP($B23,Datenblatt!$A$43:$A$65,1,1)=$B23,0,VLOOKUP(WEEKDAY($B23),Datenblatt!$O$33:$Q$39,3,FALSE))</f>
        <v>0</v>
      </c>
      <c r="E23" s="164">
        <f>IF(VLOOKUP($B23,Datenblatt!$A$43:$A$65,1,1)=$B23,0,IF(WEEKDAY($B23)=7,1,IF(WEEKDAY($B23)=1,0,2)))</f>
        <v>0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416" t="str">
        <f>IF(VLOOKUP($B23,Datenblatt!$A$43:$A$66,1,1)=$B23,VLOOKUP($B23,Datenblatt!$A$43:$C$66,3,FALSE)," ")</f>
        <v xml:space="preserve"> </v>
      </c>
      <c r="W23" s="417"/>
      <c r="X23" s="418"/>
      <c r="AA23" s="179"/>
    </row>
    <row r="24" spans="2:128" ht="12.2" customHeight="1">
      <c r="B24" s="162">
        <f t="shared" si="4"/>
        <v>46097</v>
      </c>
      <c r="C24" s="163">
        <f t="shared" si="0"/>
        <v>46097</v>
      </c>
      <c r="D24" s="164">
        <f>IF(VLOOKUP($B24,Datenblatt!$A$43:$A$65,1,1)=$B24,0,VLOOKUP(WEEKDAY($B24),Datenblatt!$O$33:$Q$39,3,FALSE))</f>
        <v>8</v>
      </c>
      <c r="E24" s="164">
        <f>IF(VLOOKUP($B24,Datenblatt!$A$43:$A$65,1,1)=$B24,0,IF(WEEKDAY($B24)=7,1,IF(WEEKDAY($B24)=1,0,2)))</f>
        <v>2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416" t="str">
        <f>IF(VLOOKUP($B24,Datenblatt!$A$43:$A$66,1,1)=$B24,VLOOKUP($B24,Datenblatt!$A$43:$C$66,3,FALSE)," ")</f>
        <v xml:space="preserve"> </v>
      </c>
      <c r="W24" s="417"/>
      <c r="X24" s="418"/>
      <c r="AA24" s="179"/>
    </row>
    <row r="25" spans="2:128" ht="12.2" customHeight="1">
      <c r="B25" s="162">
        <f t="shared" si="4"/>
        <v>46098</v>
      </c>
      <c r="C25" s="163">
        <f t="shared" si="0"/>
        <v>46098</v>
      </c>
      <c r="D25" s="164">
        <f>IF(VLOOKUP($B25,Datenblatt!$A$43:$A$65,1,1)=$B25,0,VLOOKUP(WEEKDAY($B25),Datenblatt!$O$33:$Q$39,3,FALSE))</f>
        <v>8</v>
      </c>
      <c r="E25" s="164">
        <f>IF(VLOOKUP($B25,Datenblatt!$A$43:$A$65,1,1)=$B25,0,IF(WEEKDAY($B25)=7,1,IF(WEEKDAY($B25)=1,0,2)))</f>
        <v>2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416" t="str">
        <f>IF(VLOOKUP($B25,Datenblatt!$A$43:$A$66,1,1)=$B25,VLOOKUP($B25,Datenblatt!$A$43:$C$66,3,FALSE)," ")</f>
        <v xml:space="preserve"> </v>
      </c>
      <c r="W25" s="417"/>
      <c r="X25" s="418"/>
      <c r="AA25" s="179"/>
    </row>
    <row r="26" spans="2:128" ht="12.2" customHeight="1">
      <c r="B26" s="162">
        <f t="shared" si="4"/>
        <v>46099</v>
      </c>
      <c r="C26" s="163">
        <f t="shared" si="0"/>
        <v>46099</v>
      </c>
      <c r="D26" s="164">
        <f>IF(VLOOKUP($B26,Datenblatt!$A$43:$A$65,1,1)=$B26,0,VLOOKUP(WEEKDAY($B26),Datenblatt!$O$33:$Q$39,3,FALSE))</f>
        <v>8</v>
      </c>
      <c r="E26" s="164">
        <f>IF(VLOOKUP($B26,Datenblatt!$A$43:$A$65,1,1)=$B26,0,IF(WEEKDAY($B26)=7,1,IF(WEEKDAY($B26)=1,0,2)))</f>
        <v>2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416" t="str">
        <f>IF(VLOOKUP($B26,Datenblatt!$A$43:$A$66,1,1)=$B26,VLOOKUP($B26,Datenblatt!$A$43:$C$66,3,FALSE)," ")</f>
        <v xml:space="preserve"> </v>
      </c>
      <c r="W26" s="417"/>
      <c r="X26" s="418"/>
      <c r="AA26" s="179"/>
    </row>
    <row r="27" spans="2:128" ht="12.2" customHeight="1">
      <c r="B27" s="162">
        <f t="shared" si="4"/>
        <v>46100</v>
      </c>
      <c r="C27" s="163">
        <f t="shared" si="0"/>
        <v>46100</v>
      </c>
      <c r="D27" s="164">
        <f>IF(VLOOKUP($B27,Datenblatt!$A$43:$A$65,1,1)=$B27,0,VLOOKUP(WEEKDAY($B27),Datenblatt!$O$33:$Q$39,3,FALSE))</f>
        <v>8</v>
      </c>
      <c r="E27" s="164">
        <f>IF(VLOOKUP($B27,Datenblatt!$A$43:$A$65,1,1)=$B27,0,IF(WEEKDAY($B27)=7,1,IF(WEEKDAY($B27)=1,0,2)))</f>
        <v>2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416" t="str">
        <f>IF(VLOOKUP($B27,Datenblatt!$A$43:$A$66,1,1)=$B27,VLOOKUP($B27,Datenblatt!$A$43:$C$66,3,FALSE)," ")</f>
        <v xml:space="preserve"> </v>
      </c>
      <c r="W27" s="417"/>
      <c r="X27" s="418"/>
      <c r="AA27" s="179"/>
    </row>
    <row r="28" spans="2:128" ht="12.2" customHeight="1">
      <c r="B28" s="162">
        <f t="shared" si="4"/>
        <v>46101</v>
      </c>
      <c r="C28" s="163">
        <f t="shared" si="0"/>
        <v>46101</v>
      </c>
      <c r="D28" s="164">
        <f>IF(VLOOKUP($B28,Datenblatt!$A$43:$A$65,1,1)=$B28,0,VLOOKUP(WEEKDAY($B28),Datenblatt!$O$33:$Q$39,3,FALSE))</f>
        <v>8</v>
      </c>
      <c r="E28" s="164">
        <f>IF(VLOOKUP($B28,Datenblatt!$A$43:$A$65,1,1)=$B28,0,IF(WEEKDAY($B28)=7,1,IF(WEEKDAY($B28)=1,0,2)))</f>
        <v>2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416" t="str">
        <f>IF(VLOOKUP($B28,Datenblatt!$A$43:$A$66,1,1)=$B28,VLOOKUP($B28,Datenblatt!$A$43:$C$66,3,FALSE)," ")</f>
        <v xml:space="preserve"> </v>
      </c>
      <c r="W28" s="417"/>
      <c r="X28" s="418"/>
      <c r="AA28" s="179"/>
    </row>
    <row r="29" spans="2:128" ht="12.2" customHeight="1">
      <c r="B29" s="162">
        <f t="shared" si="4"/>
        <v>46102</v>
      </c>
      <c r="C29" s="163">
        <f t="shared" si="0"/>
        <v>46102</v>
      </c>
      <c r="D29" s="164">
        <f>IF(VLOOKUP($B29,Datenblatt!$A$43:$A$65,1,1)=$B29,0,VLOOKUP(WEEKDAY($B29),Datenblatt!$O$33:$Q$39,3,FALSE))</f>
        <v>0</v>
      </c>
      <c r="E29" s="164">
        <f>IF(VLOOKUP($B29,Datenblatt!$A$43:$A$65,1,1)=$B29,0,IF(WEEKDAY($B29)=7,1,IF(WEEKDAY($B29)=1,0,2)))</f>
        <v>1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416" t="str">
        <f>IF(VLOOKUP($B29,Datenblatt!$A$43:$A$66,1,1)=$B29,VLOOKUP($B29,Datenblatt!$A$43:$C$66,3,FALSE)," ")</f>
        <v xml:space="preserve"> </v>
      </c>
      <c r="W29" s="417"/>
      <c r="X29" s="418"/>
      <c r="AA29" s="179"/>
    </row>
    <row r="30" spans="2:128" ht="12.2" customHeight="1">
      <c r="B30" s="162">
        <f t="shared" si="4"/>
        <v>46103</v>
      </c>
      <c r="C30" s="163">
        <f t="shared" si="0"/>
        <v>46103</v>
      </c>
      <c r="D30" s="164">
        <f>IF(VLOOKUP($B30,Datenblatt!$A$43:$A$65,1,1)=$B30,0,VLOOKUP(WEEKDAY($B30),Datenblatt!$O$33:$Q$39,3,FALSE))</f>
        <v>0</v>
      </c>
      <c r="E30" s="164">
        <f>IF(VLOOKUP($B30,Datenblatt!$A$43:$A$65,1,1)=$B30,0,IF(WEEKDAY($B30)=7,1,IF(WEEKDAY($B30)=1,0,2)))</f>
        <v>0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416" t="str">
        <f>IF(VLOOKUP($B30,Datenblatt!$A$43:$A$66,1,1)=$B30,VLOOKUP($B30,Datenblatt!$A$43:$C$66,3,FALSE)," ")</f>
        <v xml:space="preserve"> </v>
      </c>
      <c r="W30" s="417"/>
      <c r="X30" s="418"/>
      <c r="AA30" s="179"/>
    </row>
    <row r="31" spans="2:128" ht="12.2" customHeight="1">
      <c r="B31" s="162">
        <f t="shared" si="4"/>
        <v>46104</v>
      </c>
      <c r="C31" s="163">
        <f t="shared" si="0"/>
        <v>46104</v>
      </c>
      <c r="D31" s="164">
        <f>IF(VLOOKUP($B31,Datenblatt!$A$43:$A$65,1,1)=$B31,0,VLOOKUP(WEEKDAY($B31),Datenblatt!$O$33:$Q$39,3,FALSE))</f>
        <v>8</v>
      </c>
      <c r="E31" s="164">
        <f>IF(VLOOKUP($B31,Datenblatt!$A$43:$A$65,1,1)=$B31,0,IF(WEEKDAY($B31)=7,1,IF(WEEKDAY($B31)=1,0,2)))</f>
        <v>2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416" t="str">
        <f>IF(VLOOKUP($B31,Datenblatt!$A$43:$A$66,1,1)=$B31,VLOOKUP($B31,Datenblatt!$A$43:$C$66,3,FALSE)," ")</f>
        <v xml:space="preserve"> </v>
      </c>
      <c r="W31" s="417"/>
      <c r="X31" s="418"/>
      <c r="AA31" s="179"/>
    </row>
    <row r="32" spans="2:128" ht="12.2" customHeight="1">
      <c r="B32" s="162">
        <f t="shared" si="4"/>
        <v>46105</v>
      </c>
      <c r="C32" s="163">
        <f t="shared" si="0"/>
        <v>46105</v>
      </c>
      <c r="D32" s="164">
        <f>IF(VLOOKUP($B32,Datenblatt!$A$43:$A$65,1,1)=$B32,0,VLOOKUP(WEEKDAY($B32),Datenblatt!$O$33:$Q$39,3,FALSE))</f>
        <v>8</v>
      </c>
      <c r="E32" s="164">
        <f>IF(VLOOKUP($B32,Datenblatt!$A$43:$A$65,1,1)=$B32,0,IF(WEEKDAY($B32)=7,1,IF(WEEKDAY($B32)=1,0,2)))</f>
        <v>2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416" t="str">
        <f>IF(VLOOKUP($B32,Datenblatt!$A$43:$A$66,1,1)=$B32,VLOOKUP($B32,Datenblatt!$A$43:$C$66,3,FALSE)," ")</f>
        <v xml:space="preserve"> </v>
      </c>
      <c r="W32" s="417"/>
      <c r="X32" s="418"/>
      <c r="AA32" s="179"/>
    </row>
    <row r="33" spans="2:128" ht="12.2" customHeight="1">
      <c r="B33" s="162">
        <f t="shared" si="4"/>
        <v>46106</v>
      </c>
      <c r="C33" s="163">
        <f t="shared" si="0"/>
        <v>46106</v>
      </c>
      <c r="D33" s="164">
        <f>IF(VLOOKUP($B33,Datenblatt!$A$43:$A$65,1,1)=$B33,0,VLOOKUP(WEEKDAY($B33),Datenblatt!$O$33:$Q$39,3,FALSE))</f>
        <v>8</v>
      </c>
      <c r="E33" s="164">
        <f>IF(VLOOKUP($B33,Datenblatt!$A$43:$A$65,1,1)=$B33,0,IF(WEEKDAY($B33)=7,1,IF(WEEKDAY($B33)=1,0,2)))</f>
        <v>2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416" t="str">
        <f>IF(VLOOKUP($B33,Datenblatt!$A$43:$A$66,1,1)=$B33,VLOOKUP($B33,Datenblatt!$A$43:$C$66,3,FALSE)," ")</f>
        <v xml:space="preserve"> </v>
      </c>
      <c r="W33" s="417"/>
      <c r="X33" s="418"/>
      <c r="AA33" s="179"/>
    </row>
    <row r="34" spans="2:128" ht="12.2" customHeight="1">
      <c r="B34" s="162">
        <f t="shared" si="4"/>
        <v>46107</v>
      </c>
      <c r="C34" s="163">
        <f t="shared" si="0"/>
        <v>46107</v>
      </c>
      <c r="D34" s="164">
        <f>IF(VLOOKUP($B34,Datenblatt!$A$43:$A$65,1,1)=$B34,0,VLOOKUP(WEEKDAY($B34),Datenblatt!$O$33:$Q$39,3,FALSE))</f>
        <v>8</v>
      </c>
      <c r="E34" s="164">
        <f>IF(VLOOKUP($B34,Datenblatt!$A$43:$A$65,1,1)=$B34,0,IF(WEEKDAY($B34)=7,1,IF(WEEKDAY($B34)=1,0,2)))</f>
        <v>2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416" t="str">
        <f>IF(VLOOKUP($B34,Datenblatt!$A$43:$A$66,1,1)=$B34,VLOOKUP($B34,Datenblatt!$A$43:$C$66,3,FALSE)," ")</f>
        <v xml:space="preserve"> </v>
      </c>
      <c r="W34" s="417"/>
      <c r="X34" s="418"/>
      <c r="AA34" s="179"/>
    </row>
    <row r="35" spans="2:128" ht="12.2" customHeight="1">
      <c r="B35" s="162">
        <f t="shared" si="4"/>
        <v>46108</v>
      </c>
      <c r="C35" s="163">
        <f t="shared" si="0"/>
        <v>46108</v>
      </c>
      <c r="D35" s="164">
        <f>IF(VLOOKUP($B35,Datenblatt!$A$43:$A$65,1,1)=$B35,0,VLOOKUP(WEEKDAY($B35),Datenblatt!$O$33:$Q$39,3,FALSE))</f>
        <v>8</v>
      </c>
      <c r="E35" s="164">
        <f>IF(VLOOKUP($B35,Datenblatt!$A$43:$A$65,1,1)=$B35,0,IF(WEEKDAY($B35)=7,1,IF(WEEKDAY($B35)=1,0,2)))</f>
        <v>2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416" t="str">
        <f>IF(VLOOKUP($B35,Datenblatt!$A$43:$A$66,1,1)=$B35,VLOOKUP($B35,Datenblatt!$A$43:$C$66,3,FALSE)," ")</f>
        <v xml:space="preserve"> </v>
      </c>
      <c r="W35" s="417"/>
      <c r="X35" s="418"/>
      <c r="AA35" s="179"/>
    </row>
    <row r="36" spans="2:128" ht="12.2" customHeight="1">
      <c r="B36" s="162">
        <f t="shared" si="4"/>
        <v>46109</v>
      </c>
      <c r="C36" s="163">
        <f t="shared" si="0"/>
        <v>46109</v>
      </c>
      <c r="D36" s="164">
        <f>IF(VLOOKUP($B36,Datenblatt!$A$43:$A$65,1,1)=$B36,0,VLOOKUP(WEEKDAY($B36),Datenblatt!$O$33:$Q$39,3,FALSE))</f>
        <v>0</v>
      </c>
      <c r="E36" s="164">
        <f>IF(VLOOKUP($B36,Datenblatt!$A$43:$A$65,1,1)=$B36,0,IF(WEEKDAY($B36)=7,1,IF(WEEKDAY($B36)=1,0,2)))</f>
        <v>1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416" t="str">
        <f>IF(VLOOKUP($B36,Datenblatt!$A$43:$A$66,1,1)=$B36,VLOOKUP($B36,Datenblatt!$A$43:$C$66,3,FALSE)," ")</f>
        <v xml:space="preserve"> </v>
      </c>
      <c r="W36" s="417"/>
      <c r="X36" s="418"/>
      <c r="AA36" s="179"/>
    </row>
    <row r="37" spans="2:128" ht="12.2" customHeight="1">
      <c r="B37" s="162">
        <f t="shared" si="4"/>
        <v>46110</v>
      </c>
      <c r="C37" s="163">
        <f t="shared" si="0"/>
        <v>46110</v>
      </c>
      <c r="D37" s="164">
        <f>IF(VLOOKUP($B37,Datenblatt!$A$43:$A$65,1,1)=$B37,0,VLOOKUP(WEEKDAY($B37),Datenblatt!$O$33:$Q$39,3,FALSE))</f>
        <v>0</v>
      </c>
      <c r="E37" s="164">
        <f>IF(VLOOKUP($B37,Datenblatt!$A$43:$A$65,1,1)=$B37,0,IF(WEEKDAY($B37)=7,1,IF(WEEKDAY($B37)=1,0,2)))</f>
        <v>0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416" t="str">
        <f>IF(VLOOKUP($B37,Datenblatt!$A$43:$A$66,1,1)=$B37,VLOOKUP($B37,Datenblatt!$A$43:$C$66,3,FALSE)," ")</f>
        <v xml:space="preserve"> </v>
      </c>
      <c r="W37" s="417"/>
      <c r="X37" s="418"/>
      <c r="AA37" s="179"/>
    </row>
    <row r="38" spans="2:128" ht="12.2" customHeight="1">
      <c r="B38" s="162">
        <f t="shared" si="4"/>
        <v>46111</v>
      </c>
      <c r="C38" s="163">
        <f t="shared" si="0"/>
        <v>46111</v>
      </c>
      <c r="D38" s="164">
        <f>IF(VLOOKUP($B38,Datenblatt!$A$43:$A$65,1,1)=$B38,0,VLOOKUP(WEEKDAY($B38),Datenblatt!$O$33:$Q$39,3,FALSE))</f>
        <v>8</v>
      </c>
      <c r="E38" s="164">
        <f>IF(VLOOKUP($B38,Datenblatt!$A$43:$A$65,1,1)=$B38,0,IF(WEEKDAY($B38)=7,1,IF(WEEKDAY($B38)=1,0,2)))</f>
        <v>2</v>
      </c>
      <c r="F38" s="165"/>
      <c r="G38" s="166"/>
      <c r="H38" s="167"/>
      <c r="I38" s="168"/>
      <c r="J38" s="167"/>
      <c r="K38" s="168"/>
      <c r="L38" s="167"/>
      <c r="M38" s="169"/>
      <c r="N38" s="170"/>
      <c r="O38" s="170"/>
      <c r="P38" s="171"/>
      <c r="Q38" s="172"/>
      <c r="R38" s="173" t="str">
        <f t="shared" si="1"/>
        <v/>
      </c>
      <c r="S38" s="174" t="str">
        <f t="shared" si="2"/>
        <v/>
      </c>
      <c r="T38" s="175" t="str">
        <f t="shared" si="3"/>
        <v/>
      </c>
      <c r="U38" s="176"/>
      <c r="V38" s="416" t="str">
        <f>IF(VLOOKUP($B38,Datenblatt!$A$43:$A$66,1,1)=$B38,VLOOKUP($B38,Datenblatt!$A$43:$C$66,3,FALSE)," ")</f>
        <v xml:space="preserve"> </v>
      </c>
      <c r="W38" s="417"/>
      <c r="X38" s="418"/>
      <c r="AA38" s="179"/>
    </row>
    <row r="39" spans="2:128" ht="12.2" customHeight="1" thickBot="1">
      <c r="B39" s="162">
        <f t="shared" si="4"/>
        <v>46112</v>
      </c>
      <c r="C39" s="163">
        <f t="shared" si="0"/>
        <v>46112</v>
      </c>
      <c r="D39" s="164">
        <f>IF(VLOOKUP($B39,Datenblatt!$A$43:$A$65,1,1)=$B39,0,VLOOKUP(WEEKDAY($B39),Datenblatt!$O$33:$Q$39,3,FALSE))</f>
        <v>8</v>
      </c>
      <c r="E39" s="164">
        <f>IF(VLOOKUP($B39,Datenblatt!$A$43:$A$65,1,1)=$B39,0,IF(WEEKDAY($B39)=7,1,IF(WEEKDAY($B39)=1,0,2)))</f>
        <v>2</v>
      </c>
      <c r="F39" s="165"/>
      <c r="G39" s="166"/>
      <c r="H39" s="167"/>
      <c r="I39" s="168"/>
      <c r="J39" s="167"/>
      <c r="K39" s="168"/>
      <c r="L39" s="167"/>
      <c r="M39" s="169"/>
      <c r="N39" s="170"/>
      <c r="O39" s="170"/>
      <c r="P39" s="171"/>
      <c r="Q39" s="172"/>
      <c r="R39" s="173" t="str">
        <f t="shared" si="1"/>
        <v/>
      </c>
      <c r="S39" s="174" t="str">
        <f t="shared" si="2"/>
        <v/>
      </c>
      <c r="T39" s="175" t="str">
        <f t="shared" si="3"/>
        <v/>
      </c>
      <c r="U39" s="176"/>
      <c r="V39" s="424" t="str">
        <f>IF(VLOOKUP($B39,Datenblatt!$A$43:$A$66,1,1)=$B39,VLOOKUP($B39,Datenblatt!$A$43:$C$66,3,FALSE)," ")</f>
        <v xml:space="preserve"> </v>
      </c>
      <c r="W39" s="425"/>
      <c r="X39" s="426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412"/>
      <c r="X40" s="41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22  Arbeitstage in diesem Monat</v>
      </c>
      <c r="C41" s="191"/>
      <c r="D41" s="192"/>
      <c r="E41" s="192"/>
      <c r="F41" s="192"/>
      <c r="G41" s="193"/>
      <c r="H41" s="24"/>
      <c r="I41" s="66"/>
      <c r="J41" s="66"/>
      <c r="K41" s="66"/>
      <c r="L41" s="66"/>
      <c r="M41" s="24" t="str">
        <f>"Sollstunden für März "&amp;Datenblatt!$F$5&amp;":"</f>
        <v>Sollstunden für März 2026:</v>
      </c>
      <c r="N41" s="66"/>
      <c r="O41" s="66"/>
      <c r="P41" s="194"/>
      <c r="R41" s="195"/>
      <c r="S41" s="398">
        <f>SUM(D9:D39)</f>
        <v>176</v>
      </c>
      <c r="T41" s="398"/>
      <c r="U41" s="196"/>
      <c r="V41" s="196"/>
      <c r="W41" s="197"/>
      <c r="X41" s="130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20" t="s">
        <v>239</v>
      </c>
      <c r="J42" s="420"/>
      <c r="K42" s="198"/>
      <c r="M42" s="198" t="str">
        <f>IF(S42&gt;=0,"Zeitguthaben im Monat März "&amp;Datenblatt!F5&amp;":   ","Zeitdefizit im Monat März "&amp;Datenblatt!F5&amp;":   ")</f>
        <v xml:space="preserve">Zeitguthaben im Monat März 2026:   </v>
      </c>
      <c r="N42" s="198"/>
      <c r="O42" s="198"/>
      <c r="R42" s="199"/>
      <c r="S42" s="421" t="s">
        <v>239</v>
      </c>
      <c r="T42" s="421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Feber "&amp;Datenblatt!F5-1&amp;":   ","  - Zeitdefizit aus Feber "&amp;Datenblatt!F5&amp;":   ")</f>
        <v xml:space="preserve">  + Zeitguthaben aus Feber 2025:   </v>
      </c>
      <c r="S43" s="427" t="str">
        <f>Jän!S44</f>
        <v>________ h</v>
      </c>
      <c r="T43" s="427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198" t="str">
        <f>"Übertrag für April "&amp;Datenblatt!F5</f>
        <v>Übertrag für April 2026</v>
      </c>
      <c r="R44" s="204"/>
      <c r="S44" s="423" t="s">
        <v>239</v>
      </c>
      <c r="T44" s="423"/>
      <c r="U44" s="200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19">
        <f ca="1">TODAY()</f>
        <v>45935</v>
      </c>
      <c r="H45" s="419"/>
      <c r="I45" s="419"/>
      <c r="T45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G45:I45"/>
    <mergeCell ref="I42:J42"/>
    <mergeCell ref="S42:T42"/>
    <mergeCell ref="S43:T43"/>
    <mergeCell ref="S44:T44"/>
    <mergeCell ref="W7:W8"/>
    <mergeCell ref="F7:G7"/>
    <mergeCell ref="S7:S8"/>
    <mergeCell ref="X7:X8"/>
    <mergeCell ref="W40:X40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S41:T41"/>
    <mergeCell ref="L2:P2"/>
    <mergeCell ref="T4:U4"/>
    <mergeCell ref="T5:U5"/>
    <mergeCell ref="H7:M7"/>
    <mergeCell ref="N7:O7"/>
    <mergeCell ref="P7:P8"/>
    <mergeCell ref="Q7:Q8"/>
  </mergeCells>
  <phoneticPr fontId="2" type="noConversion"/>
  <conditionalFormatting sqref="A15 DY15:IV15">
    <cfRule type="cellIs" dxfId="64" priority="1" stopIfTrue="1" operator="equal">
      <formula>MATCH($E15,0)</formula>
    </cfRule>
    <cfRule type="expression" dxfId="63" priority="2" stopIfTrue="1">
      <formula>"WOCHENTAG($B8)=1"</formula>
    </cfRule>
    <cfRule type="expression" dxfId="62" priority="3" stopIfTrue="1">
      <formula>"WOCHENTAG($B8)=7"</formula>
    </cfRule>
  </conditionalFormatting>
  <conditionalFormatting sqref="B9:C39">
    <cfRule type="expression" dxfId="61" priority="8" stopIfTrue="1">
      <formula>($E9=1)</formula>
    </cfRule>
  </conditionalFormatting>
  <conditionalFormatting sqref="V9 B9:T39 V10:X10 V11:V39">
    <cfRule type="expression" dxfId="60" priority="4" stopIfTrue="1">
      <formula>($E9=0)</formula>
    </cfRule>
    <cfRule type="expression" dxfId="59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X48"/>
  <sheetViews>
    <sheetView showGridLines="0" workbookViewId="0">
      <pane ySplit="8" topLeftCell="A9" activePane="bottomLeft" state="frozen"/>
      <selection activeCell="V13" sqref="V13:X13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140625" style="94" customWidth="1"/>
    <col min="4" max="4" width="0.28515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399">
        <f>DATE(Datenblatt!F5,4,1)</f>
        <v>46113</v>
      </c>
      <c r="M2" s="399"/>
      <c r="N2" s="399"/>
      <c r="O2" s="399"/>
      <c r="P2" s="399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"&amp;Datenblatt!$T$33&amp;";"&amp;"    Di: "&amp;Datenblatt!$T$34&amp;";"&amp;"    Mi: "&amp;Datenblatt!$T$35&amp;";"&amp;"    Do: "&amp;Datenblatt!$T$36&amp;";"&amp;"    Fr: "&amp;Datenblatt!$T$37&amp;";"&amp;"    Sa: "&amp;Datenblatt!$T$38&amp;";"&amp;"    So: "&amp;Datenblatt!$T$39&amp;""&amp;"     -    Wochenarbeitszeit:  "&amp;Datenblatt!$T$40&amp;" h"</f>
        <v>Arbeitsstunden/Tag:  Mo: 8;    Di: 8;    Mi: 8;    Do: 8;    Fr: 8;    Sa: 0;    So: 0     -    Wochenarbeitszeit:  40 h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01" t="s">
        <v>238</v>
      </c>
      <c r="U4" s="401"/>
      <c r="V4" s="147"/>
      <c r="W4" s="148" t="str">
        <f>"Urlaubsanspruch per 01.04."&amp;Datenblatt!$F$5</f>
        <v>Urlaubsanspruch per 01.04.2026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"&amp;IF(Datenblatt!T42=1,Datenblatt!D34,IF(Datenblatt!T42=2,Datenblatt!D35,IF(Datenblatt!T42=3,Datenblatt!D36,IF(Datenblatt!T42=4,Datenblatt!D37))))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01" t="s">
        <v>238</v>
      </c>
      <c r="U5" s="401"/>
      <c r="V5" s="147"/>
      <c r="W5" s="149" t="str">
        <f>"Resturlaub per 30.04."&amp;Datenblatt!$F$5</f>
        <v>Resturlaub per 30.04.2026</v>
      </c>
      <c r="X5" s="130" t="s">
        <v>144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66"/>
      <c r="D7" s="66"/>
      <c r="E7" s="66"/>
      <c r="F7" s="408" t="s">
        <v>126</v>
      </c>
      <c r="G7" s="408"/>
      <c r="H7" s="402" t="s">
        <v>127</v>
      </c>
      <c r="I7" s="402"/>
      <c r="J7" s="402"/>
      <c r="K7" s="402"/>
      <c r="L7" s="402"/>
      <c r="M7" s="402"/>
      <c r="N7" s="403" t="s">
        <v>128</v>
      </c>
      <c r="O7" s="403"/>
      <c r="P7" s="404" t="s">
        <v>129</v>
      </c>
      <c r="Q7" s="405" t="s">
        <v>130</v>
      </c>
      <c r="R7" s="150" t="s">
        <v>131</v>
      </c>
      <c r="S7" s="409" t="s">
        <v>132</v>
      </c>
      <c r="T7" s="151" t="s">
        <v>133</v>
      </c>
      <c r="U7" s="152"/>
      <c r="V7" s="350"/>
      <c r="W7" s="406" t="s">
        <v>134</v>
      </c>
      <c r="X7" s="410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04"/>
      <c r="Q8" s="405"/>
      <c r="R8" s="158" t="s">
        <v>138</v>
      </c>
      <c r="S8" s="409"/>
      <c r="T8" s="159" t="s">
        <v>138</v>
      </c>
      <c r="U8" s="160"/>
      <c r="V8" s="351"/>
      <c r="W8" s="407"/>
      <c r="X8" s="411"/>
    </row>
    <row r="9" spans="2:128" s="161" customFormat="1" ht="12.2" customHeight="1">
      <c r="B9" s="162">
        <f>L2</f>
        <v>46113</v>
      </c>
      <c r="C9" s="163">
        <f t="shared" ref="C9:C38" si="0">B9</f>
        <v>46113</v>
      </c>
      <c r="D9" s="164">
        <f>IF(VLOOKUP($B9,Datenblatt!$A$43:$A$65,1,1)=$B9,0,VLOOKUP(WEEKDAY($B9),Datenblatt!$R$33:$T$39,3,FALSE))</f>
        <v>8</v>
      </c>
      <c r="E9" s="164">
        <f>IF(VLOOKUP($B9,Datenblatt!$A$43:$A$65,1,1)=$B9,0,IF(WEEKDAY($B9)=7,1,IF(WEEKDAY($B9)=1,0,2)))</f>
        <v>2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3" t="str">
        <f>IF(VLOOKUP($B9,Datenblatt!$A$43:$A$66,1,1)=$B9,VLOOKUP($B9,Datenblatt!$A$43:$C$66,3,FALSE)," ")</f>
        <v xml:space="preserve"> </v>
      </c>
      <c r="W9" s="414"/>
      <c r="X9" s="41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8" si="4">B9+1</f>
        <v>46114</v>
      </c>
      <c r="C10" s="163">
        <f t="shared" si="0"/>
        <v>46114</v>
      </c>
      <c r="D10" s="164">
        <f>IF(VLOOKUP($B10,Datenblatt!$A$43:$A$65,1,1)=$B10,0,VLOOKUP(WEEKDAY($B10),Datenblatt!$R$33:$T$39,3,FALSE))</f>
        <v>8</v>
      </c>
      <c r="E10" s="164">
        <f>IF(VLOOKUP($B10,Datenblatt!$A$43:$A$65,1,1)=$B10,0,IF(WEEKDAY($B10)=7,1,IF(WEEKDAY($B10)=1,0,2)))</f>
        <v>2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 xml:space="preserve"> </v>
      </c>
      <c r="W10" s="379"/>
      <c r="X10" s="380"/>
    </row>
    <row r="11" spans="2:128" ht="12.2" customHeight="1">
      <c r="B11" s="162">
        <f t="shared" si="4"/>
        <v>46115</v>
      </c>
      <c r="C11" s="163">
        <f t="shared" si="0"/>
        <v>46115</v>
      </c>
      <c r="D11" s="164">
        <f>IF(VLOOKUP($B11,Datenblatt!$A$43:$A$65,1,1)=$B11,0,VLOOKUP(WEEKDAY($B11),Datenblatt!$R$33:$T$39,3,FALSE))</f>
        <v>0</v>
      </c>
      <c r="E11" s="164">
        <f>IF(VLOOKUP($B11,Datenblatt!$A$43:$A$65,1,1)=$B11,0,IF(WEEKDAY($B11)=7,1,IF(WEEKDAY($B11)=1,0,2)))</f>
        <v>0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416" t="str">
        <f>IF(VLOOKUP($B11,Datenblatt!$A$43:$A$66,1,1)=$B11,VLOOKUP($B11,Datenblatt!$A$43:$C$66,3,FALSE)," ")</f>
        <v>Karfreitag</v>
      </c>
      <c r="W11" s="417"/>
      <c r="X11" s="418"/>
      <c r="AA11" s="179"/>
    </row>
    <row r="12" spans="2:128" ht="12.2" customHeight="1">
      <c r="B12" s="162">
        <f t="shared" si="4"/>
        <v>46116</v>
      </c>
      <c r="C12" s="163">
        <f t="shared" si="0"/>
        <v>46116</v>
      </c>
      <c r="D12" s="164">
        <f>IF(VLOOKUP($B12,Datenblatt!$A$43:$A$65,1,1)=$B12,0,VLOOKUP(WEEKDAY($B12),Datenblatt!$R$33:$T$39,3,FALSE))</f>
        <v>0</v>
      </c>
      <c r="E12" s="164">
        <f>IF(VLOOKUP($B12,Datenblatt!$A$43:$A$65,1,1)=$B12,0,IF(WEEKDAY($B12)=7,1,IF(WEEKDAY($B12)=1,0,2)))</f>
        <v>1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416" t="str">
        <f>IF(VLOOKUP($B12,Datenblatt!$A$43:$A$66,1,1)=$B12,VLOOKUP($B12,Datenblatt!$A$43:$C$66,3,FALSE)," ")</f>
        <v xml:space="preserve"> </v>
      </c>
      <c r="W12" s="417"/>
      <c r="X12" s="418"/>
      <c r="AA12" s="179"/>
    </row>
    <row r="13" spans="2:128" s="161" customFormat="1" ht="12.2" customHeight="1">
      <c r="B13" s="162">
        <f t="shared" si="4"/>
        <v>46117</v>
      </c>
      <c r="C13" s="163">
        <f t="shared" si="0"/>
        <v>46117</v>
      </c>
      <c r="D13" s="164">
        <f>IF(VLOOKUP($B13,Datenblatt!$A$43:$A$65,1,1)=$B13,0,VLOOKUP(WEEKDAY($B13),Datenblatt!$R$33:$T$39,3,FALSE))</f>
        <v>0</v>
      </c>
      <c r="E13" s="164">
        <f>IF(VLOOKUP($B13,Datenblatt!$A$43:$A$65,1,1)=$B13,0,IF(WEEKDAY($B13)=7,1,IF(WEEKDAY($B13)=1,0,2)))</f>
        <v>0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416" t="str">
        <f>IF(VLOOKUP($B13,Datenblatt!$A$43:$A$66,1,1)=$B13,VLOOKUP($B13,Datenblatt!$A$43:$C$66,3,FALSE)," ")</f>
        <v>Osterrsonntag</v>
      </c>
      <c r="W13" s="417"/>
      <c r="X13" s="418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46118</v>
      </c>
      <c r="C14" s="163">
        <f t="shared" si="0"/>
        <v>46118</v>
      </c>
      <c r="D14" s="164">
        <f>IF(VLOOKUP($B14,Datenblatt!$A$43:$A$65,1,1)=$B14,0,VLOOKUP(WEEKDAY($B14),Datenblatt!$R$33:$T$39,3,FALSE))</f>
        <v>0</v>
      </c>
      <c r="E14" s="164">
        <f>IF(VLOOKUP($B14,Datenblatt!$A$43:$A$65,1,1)=$B14,0,IF(WEEKDAY($B14)=7,1,IF(WEEKDAY($B14)=1,0,2)))</f>
        <v>0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416" t="str">
        <f>IF(VLOOKUP($B14,Datenblatt!$A$43:$A$66,1,1)=$B14,VLOOKUP($B14,Datenblatt!$A$43:$C$66,3,FALSE)," ")</f>
        <v>Ostermontag</v>
      </c>
      <c r="W14" s="417"/>
      <c r="X14" s="418"/>
      <c r="AA14" s="179"/>
    </row>
    <row r="15" spans="2:128" ht="12.2" customHeight="1">
      <c r="B15" s="162">
        <f t="shared" si="4"/>
        <v>46119</v>
      </c>
      <c r="C15" s="163">
        <f t="shared" si="0"/>
        <v>46119</v>
      </c>
      <c r="D15" s="164">
        <f>IF(VLOOKUP($B15,Datenblatt!$A$43:$A$65,1,1)=$B15,0,VLOOKUP(WEEKDAY($B15),Datenblatt!$R$33:$T$39,3,FALSE))</f>
        <v>8</v>
      </c>
      <c r="E15" s="164">
        <f>IF(VLOOKUP($B15,Datenblatt!$A$43:$A$65,1,1)=$B15,0,IF(WEEKDAY($B15)=7,1,IF(WEEKDAY($B15)=1,0,2)))</f>
        <v>2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416" t="str">
        <f>IF(VLOOKUP($B15,Datenblatt!$A$43:$A$66,1,1)=$B15,VLOOKUP($B15,Datenblatt!$A$43:$C$66,3,FALSE)," ")</f>
        <v xml:space="preserve"> </v>
      </c>
      <c r="W15" s="417"/>
      <c r="X15" s="418"/>
      <c r="AA15" s="179"/>
    </row>
    <row r="16" spans="2:128" ht="12.2" customHeight="1">
      <c r="B16" s="162">
        <f t="shared" si="4"/>
        <v>46120</v>
      </c>
      <c r="C16" s="163">
        <f t="shared" si="0"/>
        <v>46120</v>
      </c>
      <c r="D16" s="164">
        <f>IF(VLOOKUP($B16,Datenblatt!$A$43:$A$65,1,1)=$B16,0,VLOOKUP(WEEKDAY($B16),Datenblatt!$R$33:$T$39,3,FALSE))</f>
        <v>8</v>
      </c>
      <c r="E16" s="164">
        <f>IF(VLOOKUP($B16,Datenblatt!$A$43:$A$65,1,1)=$B16,0,IF(WEEKDAY($B16)=7,1,IF(WEEKDAY($B16)=1,0,2)))</f>
        <v>2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416" t="str">
        <f>IF(VLOOKUP($B16,Datenblatt!$A$43:$A$66,1,1)=$B16,VLOOKUP($B16,Datenblatt!$A$43:$C$66,3,FALSE)," ")</f>
        <v xml:space="preserve"> </v>
      </c>
      <c r="W16" s="417"/>
      <c r="X16" s="418"/>
      <c r="AA16" s="179"/>
    </row>
    <row r="17" spans="2:128" ht="12.2" customHeight="1">
      <c r="B17" s="162">
        <f t="shared" si="4"/>
        <v>46121</v>
      </c>
      <c r="C17" s="163">
        <f t="shared" si="0"/>
        <v>46121</v>
      </c>
      <c r="D17" s="164">
        <f>IF(VLOOKUP($B17,Datenblatt!$A$43:$A$65,1,1)=$B17,0,VLOOKUP(WEEKDAY($B17),Datenblatt!$R$33:$T$39,3,FALSE))</f>
        <v>8</v>
      </c>
      <c r="E17" s="164">
        <f>IF(VLOOKUP($B17,Datenblatt!$A$43:$A$65,1,1)=$B17,0,IF(WEEKDAY($B17)=7,1,IF(WEEKDAY($B17)=1,0,2)))</f>
        <v>2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416" t="str">
        <f>IF(VLOOKUP($B17,Datenblatt!$A$43:$A$66,1,1)=$B17,VLOOKUP($B17,Datenblatt!$A$43:$C$66,3,FALSE)," ")</f>
        <v xml:space="preserve"> </v>
      </c>
      <c r="W17" s="417"/>
      <c r="X17" s="418"/>
      <c r="AA17" s="179"/>
    </row>
    <row r="18" spans="2:128" ht="12.2" customHeight="1">
      <c r="B18" s="162">
        <f t="shared" si="4"/>
        <v>46122</v>
      </c>
      <c r="C18" s="163">
        <f t="shared" si="0"/>
        <v>46122</v>
      </c>
      <c r="D18" s="164">
        <f>IF(VLOOKUP($B18,Datenblatt!$A$43:$A$65,1,1)=$B18,0,VLOOKUP(WEEKDAY($B18),Datenblatt!$R$33:$T$39,3,FALSE))</f>
        <v>8</v>
      </c>
      <c r="E18" s="164">
        <f>IF(VLOOKUP($B18,Datenblatt!$A$43:$A$65,1,1)=$B18,0,IF(WEEKDAY($B18)=7,1,IF(WEEKDAY($B18)=1,0,2)))</f>
        <v>2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416" t="str">
        <f>IF(VLOOKUP($B18,Datenblatt!$A$43:$A$66,1,1)=$B18,VLOOKUP($B18,Datenblatt!$A$43:$C$66,3,FALSE)," ")</f>
        <v xml:space="preserve"> </v>
      </c>
      <c r="W18" s="417"/>
      <c r="X18" s="418"/>
      <c r="AA18" s="179"/>
    </row>
    <row r="19" spans="2:128" ht="12.2" customHeight="1">
      <c r="B19" s="162">
        <f t="shared" si="4"/>
        <v>46123</v>
      </c>
      <c r="C19" s="163">
        <f t="shared" si="0"/>
        <v>46123</v>
      </c>
      <c r="D19" s="164">
        <f>IF(VLOOKUP($B19,Datenblatt!$A$43:$A$65,1,1)=$B19,0,VLOOKUP(WEEKDAY($B19),Datenblatt!$R$33:$T$39,3,FALSE))</f>
        <v>0</v>
      </c>
      <c r="E19" s="164">
        <f>IF(VLOOKUP($B19,Datenblatt!$A$43:$A$65,1,1)=$B19,0,IF(WEEKDAY($B19)=7,1,IF(WEEKDAY($B19)=1,0,2)))</f>
        <v>1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416" t="str">
        <f>IF(VLOOKUP($B19,Datenblatt!$A$43:$A$66,1,1)=$B19,VLOOKUP($B19,Datenblatt!$A$43:$C$66,3,FALSE)," ")</f>
        <v xml:space="preserve"> </v>
      </c>
      <c r="W19" s="417"/>
      <c r="X19" s="418"/>
      <c r="AA19" s="179"/>
    </row>
    <row r="20" spans="2:128" ht="12.2" customHeight="1">
      <c r="B20" s="162">
        <f t="shared" si="4"/>
        <v>46124</v>
      </c>
      <c r="C20" s="163">
        <f t="shared" si="0"/>
        <v>46124</v>
      </c>
      <c r="D20" s="164">
        <f>IF(VLOOKUP($B20,Datenblatt!$A$43:$A$65,1,1)=$B20,0,VLOOKUP(WEEKDAY($B20),Datenblatt!$R$33:$T$39,3,FALSE))</f>
        <v>0</v>
      </c>
      <c r="E20" s="164">
        <f>IF(VLOOKUP($B20,Datenblatt!$A$43:$A$65,1,1)=$B20,0,IF(WEEKDAY($B20)=7,1,IF(WEEKDAY($B20)=1,0,2)))</f>
        <v>0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416" t="str">
        <f>IF(VLOOKUP($B20,Datenblatt!$A$43:$A$66,1,1)=$B20,VLOOKUP($B20,Datenblatt!$A$43:$C$66,3,FALSE)," ")</f>
        <v xml:space="preserve"> </v>
      </c>
      <c r="W20" s="417"/>
      <c r="X20" s="418"/>
      <c r="AA20" s="179"/>
    </row>
    <row r="21" spans="2:128" ht="12.2" customHeight="1">
      <c r="B21" s="162">
        <f t="shared" si="4"/>
        <v>46125</v>
      </c>
      <c r="C21" s="163">
        <f t="shared" si="0"/>
        <v>46125</v>
      </c>
      <c r="D21" s="164">
        <f>IF(VLOOKUP($B21,Datenblatt!$A$43:$A$65,1,1)=$B21,0,VLOOKUP(WEEKDAY($B21),Datenblatt!$R$33:$T$39,3,FALSE))</f>
        <v>8</v>
      </c>
      <c r="E21" s="164">
        <f>IF(VLOOKUP($B21,Datenblatt!$A$43:$A$65,1,1)=$B21,0,IF(WEEKDAY($B21)=7,1,IF(WEEKDAY($B21)=1,0,2)))</f>
        <v>2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416" t="str">
        <f>IF(VLOOKUP($B21,Datenblatt!$A$43:$A$66,1,1)=$B21,VLOOKUP($B21,Datenblatt!$A$43:$C$66,3,FALSE)," ")</f>
        <v xml:space="preserve"> </v>
      </c>
      <c r="W21" s="417"/>
      <c r="X21" s="418"/>
      <c r="AA21" s="179"/>
    </row>
    <row r="22" spans="2:128" s="180" customFormat="1" ht="12.2" customHeight="1">
      <c r="B22" s="162">
        <f t="shared" si="4"/>
        <v>46126</v>
      </c>
      <c r="C22" s="163">
        <f t="shared" si="0"/>
        <v>46126</v>
      </c>
      <c r="D22" s="164">
        <f>IF(VLOOKUP($B22,Datenblatt!$A$43:$A$65,1,1)=$B22,0,VLOOKUP(WEEKDAY($B22),Datenblatt!$R$33:$T$39,3,FALSE))</f>
        <v>8</v>
      </c>
      <c r="E22" s="164">
        <f>IF(VLOOKUP($B22,Datenblatt!$A$43:$A$65,1,1)=$B22,0,IF(WEEKDAY($B22)=7,1,IF(WEEKDAY($B22)=1,0,2)))</f>
        <v>2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416" t="str">
        <f>IF(VLOOKUP($B22,Datenblatt!$A$43:$A$66,1,1)=$B22,VLOOKUP($B22,Datenblatt!$A$43:$C$66,3,FALSE)," ")</f>
        <v xml:space="preserve"> </v>
      </c>
      <c r="W22" s="417"/>
      <c r="X22" s="418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46127</v>
      </c>
      <c r="C23" s="163">
        <f t="shared" si="0"/>
        <v>46127</v>
      </c>
      <c r="D23" s="164">
        <f>IF(VLOOKUP($B23,Datenblatt!$A$43:$A$65,1,1)=$B23,0,VLOOKUP(WEEKDAY($B23),Datenblatt!$R$33:$T$39,3,FALSE))</f>
        <v>8</v>
      </c>
      <c r="E23" s="164">
        <f>IF(VLOOKUP($B23,Datenblatt!$A$43:$A$65,1,1)=$B23,0,IF(WEEKDAY($B23)=7,1,IF(WEEKDAY($B23)=1,0,2)))</f>
        <v>2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416" t="str">
        <f>IF(VLOOKUP($B23,Datenblatt!$A$43:$A$66,1,1)=$B23,VLOOKUP($B23,Datenblatt!$A$43:$C$66,3,FALSE)," ")</f>
        <v xml:space="preserve"> </v>
      </c>
      <c r="W23" s="417"/>
      <c r="X23" s="418"/>
      <c r="AA23" s="179"/>
    </row>
    <row r="24" spans="2:128" ht="12.2" customHeight="1">
      <c r="B24" s="162">
        <f t="shared" si="4"/>
        <v>46128</v>
      </c>
      <c r="C24" s="163">
        <f t="shared" si="0"/>
        <v>46128</v>
      </c>
      <c r="D24" s="164">
        <f>IF(VLOOKUP($B24,Datenblatt!$A$43:$A$65,1,1)=$B24,0,VLOOKUP(WEEKDAY($B24),Datenblatt!$R$33:$T$39,3,FALSE))</f>
        <v>8</v>
      </c>
      <c r="E24" s="164">
        <f>IF(VLOOKUP($B24,Datenblatt!$A$43:$A$65,1,1)=$B24,0,IF(WEEKDAY($B24)=7,1,IF(WEEKDAY($B24)=1,0,2)))</f>
        <v>2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416" t="str">
        <f>IF(VLOOKUP($B24,Datenblatt!$A$43:$A$66,1,1)=$B24,VLOOKUP($B24,Datenblatt!$A$43:$C$66,3,FALSE)," ")</f>
        <v xml:space="preserve"> </v>
      </c>
      <c r="W24" s="417"/>
      <c r="X24" s="418"/>
      <c r="AA24" s="179"/>
    </row>
    <row r="25" spans="2:128" ht="12.2" customHeight="1">
      <c r="B25" s="162">
        <f t="shared" si="4"/>
        <v>46129</v>
      </c>
      <c r="C25" s="163">
        <f t="shared" si="0"/>
        <v>46129</v>
      </c>
      <c r="D25" s="164">
        <f>IF(VLOOKUP($B25,Datenblatt!$A$43:$A$65,1,1)=$B25,0,VLOOKUP(WEEKDAY($B25),Datenblatt!$R$33:$T$39,3,FALSE))</f>
        <v>8</v>
      </c>
      <c r="E25" s="164">
        <f>IF(VLOOKUP($B25,Datenblatt!$A$43:$A$65,1,1)=$B25,0,IF(WEEKDAY($B25)=7,1,IF(WEEKDAY($B25)=1,0,2)))</f>
        <v>2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416" t="str">
        <f>IF(VLOOKUP($B25,Datenblatt!$A$43:$A$66,1,1)=$B25,VLOOKUP($B25,Datenblatt!$A$43:$C$66,3,FALSE)," ")</f>
        <v xml:space="preserve"> </v>
      </c>
      <c r="W25" s="417"/>
      <c r="X25" s="418"/>
      <c r="AA25" s="179"/>
    </row>
    <row r="26" spans="2:128" ht="12.2" customHeight="1">
      <c r="B26" s="162">
        <f t="shared" si="4"/>
        <v>46130</v>
      </c>
      <c r="C26" s="163">
        <f t="shared" si="0"/>
        <v>46130</v>
      </c>
      <c r="D26" s="164">
        <f>IF(VLOOKUP($B26,Datenblatt!$A$43:$A$65,1,1)=$B26,0,VLOOKUP(WEEKDAY($B26),Datenblatt!$R$33:$T$39,3,FALSE))</f>
        <v>0</v>
      </c>
      <c r="E26" s="164">
        <f>IF(VLOOKUP($B26,Datenblatt!$A$43:$A$65,1,1)=$B26,0,IF(WEEKDAY($B26)=7,1,IF(WEEKDAY($B26)=1,0,2)))</f>
        <v>1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416" t="str">
        <f>IF(VLOOKUP($B26,Datenblatt!$A$43:$A$66,1,1)=$B26,VLOOKUP($B26,Datenblatt!$A$43:$C$66,3,FALSE)," ")</f>
        <v xml:space="preserve"> </v>
      </c>
      <c r="W26" s="417"/>
      <c r="X26" s="418"/>
      <c r="AA26" s="179"/>
    </row>
    <row r="27" spans="2:128" ht="12.2" customHeight="1">
      <c r="B27" s="162">
        <f t="shared" si="4"/>
        <v>46131</v>
      </c>
      <c r="C27" s="163">
        <f t="shared" si="0"/>
        <v>46131</v>
      </c>
      <c r="D27" s="164">
        <f>IF(VLOOKUP($B27,Datenblatt!$A$43:$A$65,1,1)=$B27,0,VLOOKUP(WEEKDAY($B27),Datenblatt!$R$33:$T$39,3,FALSE))</f>
        <v>0</v>
      </c>
      <c r="E27" s="164">
        <f>IF(VLOOKUP($B27,Datenblatt!$A$43:$A$65,1,1)=$B27,0,IF(WEEKDAY($B27)=7,1,IF(WEEKDAY($B27)=1,0,2)))</f>
        <v>0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416" t="str">
        <f>IF(VLOOKUP($B27,Datenblatt!$A$43:$A$66,1,1)=$B27,VLOOKUP($B27,Datenblatt!$A$43:$C$66,3,FALSE)," ")</f>
        <v xml:space="preserve"> </v>
      </c>
      <c r="W27" s="417"/>
      <c r="X27" s="418"/>
      <c r="AA27" s="179"/>
    </row>
    <row r="28" spans="2:128" ht="12.2" customHeight="1">
      <c r="B28" s="162">
        <f t="shared" si="4"/>
        <v>46132</v>
      </c>
      <c r="C28" s="163">
        <f t="shared" si="0"/>
        <v>46132</v>
      </c>
      <c r="D28" s="164">
        <f>IF(VLOOKUP($B28,Datenblatt!$A$43:$A$65,1,1)=$B28,0,VLOOKUP(WEEKDAY($B28),Datenblatt!$R$33:$T$39,3,FALSE))</f>
        <v>8</v>
      </c>
      <c r="E28" s="164">
        <f>IF(VLOOKUP($B28,Datenblatt!$A$43:$A$65,1,1)=$B28,0,IF(WEEKDAY($B28)=7,1,IF(WEEKDAY($B28)=1,0,2)))</f>
        <v>2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416" t="str">
        <f>IF(VLOOKUP($B28,Datenblatt!$A$43:$A$66,1,1)=$B28,VLOOKUP($B28,Datenblatt!$A$43:$C$66,3,FALSE)," ")</f>
        <v xml:space="preserve"> </v>
      </c>
      <c r="W28" s="417"/>
      <c r="X28" s="418"/>
      <c r="AA28" s="179"/>
    </row>
    <row r="29" spans="2:128" ht="12.2" customHeight="1">
      <c r="B29" s="162">
        <f t="shared" si="4"/>
        <v>46133</v>
      </c>
      <c r="C29" s="163">
        <f t="shared" si="0"/>
        <v>46133</v>
      </c>
      <c r="D29" s="164">
        <f>IF(VLOOKUP($B29,Datenblatt!$A$43:$A$65,1,1)=$B29,0,VLOOKUP(WEEKDAY($B29),Datenblatt!$R$33:$T$39,3,FALSE))</f>
        <v>8</v>
      </c>
      <c r="E29" s="164">
        <f>IF(VLOOKUP($B29,Datenblatt!$A$43:$A$65,1,1)=$B29,0,IF(WEEKDAY($B29)=7,1,IF(WEEKDAY($B29)=1,0,2)))</f>
        <v>2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416" t="str">
        <f>IF(VLOOKUP($B29,Datenblatt!$A$43:$A$66,1,1)=$B29,VLOOKUP($B29,Datenblatt!$A$43:$C$66,3,FALSE)," ")</f>
        <v xml:space="preserve"> </v>
      </c>
      <c r="W29" s="417"/>
      <c r="X29" s="418"/>
      <c r="AA29" s="179"/>
    </row>
    <row r="30" spans="2:128" ht="12.2" customHeight="1">
      <c r="B30" s="162">
        <f t="shared" si="4"/>
        <v>46134</v>
      </c>
      <c r="C30" s="163">
        <f t="shared" si="0"/>
        <v>46134</v>
      </c>
      <c r="D30" s="164">
        <f>IF(VLOOKUP($B30,Datenblatt!$A$43:$A$65,1,1)=$B30,0,VLOOKUP(WEEKDAY($B30),Datenblatt!$R$33:$T$39,3,FALSE))</f>
        <v>8</v>
      </c>
      <c r="E30" s="164">
        <f>IF(VLOOKUP($B30,Datenblatt!$A$43:$A$65,1,1)=$B30,0,IF(WEEKDAY($B30)=7,1,IF(WEEKDAY($B30)=1,0,2)))</f>
        <v>2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416" t="str">
        <f>IF(VLOOKUP($B30,Datenblatt!$A$43:$A$66,1,1)=$B30,VLOOKUP($B30,Datenblatt!$A$43:$C$66,3,FALSE)," ")</f>
        <v xml:space="preserve"> </v>
      </c>
      <c r="W30" s="417"/>
      <c r="X30" s="418"/>
      <c r="AA30" s="179"/>
    </row>
    <row r="31" spans="2:128" ht="12.2" customHeight="1">
      <c r="B31" s="162">
        <f t="shared" si="4"/>
        <v>46135</v>
      </c>
      <c r="C31" s="163">
        <f t="shared" si="0"/>
        <v>46135</v>
      </c>
      <c r="D31" s="164">
        <f>IF(VLOOKUP($B31,Datenblatt!$A$43:$A$65,1,1)=$B31,0,VLOOKUP(WEEKDAY($B31),Datenblatt!$R$33:$T$39,3,FALSE))</f>
        <v>8</v>
      </c>
      <c r="E31" s="164">
        <f>IF(VLOOKUP($B31,Datenblatt!$A$43:$A$65,1,1)=$B31,0,IF(WEEKDAY($B31)=7,1,IF(WEEKDAY($B31)=1,0,2)))</f>
        <v>2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416" t="str">
        <f>IF(VLOOKUP($B31,Datenblatt!$A$43:$A$66,1,1)=$B31,VLOOKUP($B31,Datenblatt!$A$43:$C$66,3,FALSE)," ")</f>
        <v xml:space="preserve"> </v>
      </c>
      <c r="W31" s="417"/>
      <c r="X31" s="418"/>
      <c r="AA31" s="179"/>
    </row>
    <row r="32" spans="2:128" ht="12.2" customHeight="1">
      <c r="B32" s="162">
        <f t="shared" si="4"/>
        <v>46136</v>
      </c>
      <c r="C32" s="163">
        <f t="shared" si="0"/>
        <v>46136</v>
      </c>
      <c r="D32" s="164">
        <f>IF(VLOOKUP($B32,Datenblatt!$A$43:$A$65,1,1)=$B32,0,VLOOKUP(WEEKDAY($B32),Datenblatt!$R$33:$T$39,3,FALSE))</f>
        <v>8</v>
      </c>
      <c r="E32" s="164">
        <f>IF(VLOOKUP($B32,Datenblatt!$A$43:$A$65,1,1)=$B32,0,IF(WEEKDAY($B32)=7,1,IF(WEEKDAY($B32)=1,0,2)))</f>
        <v>2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416" t="str">
        <f>IF(VLOOKUP($B32,Datenblatt!$A$43:$A$66,1,1)=$B32,VLOOKUP($B32,Datenblatt!$A$43:$C$66,3,FALSE)," ")</f>
        <v xml:space="preserve"> </v>
      </c>
      <c r="W32" s="417"/>
      <c r="X32" s="418"/>
      <c r="AA32" s="179"/>
    </row>
    <row r="33" spans="2:128" ht="12.2" customHeight="1">
      <c r="B33" s="162">
        <f t="shared" si="4"/>
        <v>46137</v>
      </c>
      <c r="C33" s="163">
        <f t="shared" si="0"/>
        <v>46137</v>
      </c>
      <c r="D33" s="164">
        <f>IF(VLOOKUP($B33,Datenblatt!$A$43:$A$65,1,1)=$B33,0,VLOOKUP(WEEKDAY($B33),Datenblatt!$R$33:$T$39,3,FALSE))</f>
        <v>0</v>
      </c>
      <c r="E33" s="164">
        <f>IF(VLOOKUP($B33,Datenblatt!$A$43:$A$65,1,1)=$B33,0,IF(WEEKDAY($B33)=7,1,IF(WEEKDAY($B33)=1,0,2)))</f>
        <v>1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416" t="str">
        <f>IF(VLOOKUP($B33,Datenblatt!$A$43:$A$66,1,1)=$B33,VLOOKUP($B33,Datenblatt!$A$43:$C$66,3,FALSE)," ")</f>
        <v xml:space="preserve"> </v>
      </c>
      <c r="W33" s="417"/>
      <c r="X33" s="418"/>
      <c r="AA33" s="179"/>
    </row>
    <row r="34" spans="2:128" ht="12.2" customHeight="1">
      <c r="B34" s="162">
        <f t="shared" si="4"/>
        <v>46138</v>
      </c>
      <c r="C34" s="163">
        <f t="shared" si="0"/>
        <v>46138</v>
      </c>
      <c r="D34" s="164">
        <f>IF(VLOOKUP($B34,Datenblatt!$A$43:$A$65,1,1)=$B34,0,VLOOKUP(WEEKDAY($B34),Datenblatt!$R$33:$T$39,3,FALSE))</f>
        <v>0</v>
      </c>
      <c r="E34" s="164">
        <f>IF(VLOOKUP($B34,Datenblatt!$A$43:$A$65,1,1)=$B34,0,IF(WEEKDAY($B34)=7,1,IF(WEEKDAY($B34)=1,0,2)))</f>
        <v>0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416" t="str">
        <f>IF(VLOOKUP($B34,Datenblatt!$A$43:$A$66,1,1)=$B34,VLOOKUP($B34,Datenblatt!$A$43:$C$66,3,FALSE)," ")</f>
        <v xml:space="preserve"> </v>
      </c>
      <c r="W34" s="417"/>
      <c r="X34" s="418"/>
      <c r="AA34" s="179"/>
    </row>
    <row r="35" spans="2:128" ht="12.2" customHeight="1">
      <c r="B35" s="162">
        <f t="shared" si="4"/>
        <v>46139</v>
      </c>
      <c r="C35" s="163">
        <f t="shared" si="0"/>
        <v>46139</v>
      </c>
      <c r="D35" s="164">
        <f>IF(VLOOKUP($B35,Datenblatt!$A$43:$A$65,1,1)=$B35,0,VLOOKUP(WEEKDAY($B35),Datenblatt!$R$33:$T$39,3,FALSE))</f>
        <v>8</v>
      </c>
      <c r="E35" s="164">
        <f>IF(VLOOKUP($B35,Datenblatt!$A$43:$A$65,1,1)=$B35,0,IF(WEEKDAY($B35)=7,1,IF(WEEKDAY($B35)=1,0,2)))</f>
        <v>2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416" t="str">
        <f>IF(VLOOKUP($B35,Datenblatt!$A$43:$A$66,1,1)=$B35,VLOOKUP($B35,Datenblatt!$A$43:$C$66,3,FALSE)," ")</f>
        <v xml:space="preserve"> </v>
      </c>
      <c r="W35" s="417"/>
      <c r="X35" s="418"/>
      <c r="AA35" s="179"/>
    </row>
    <row r="36" spans="2:128" ht="12.2" customHeight="1">
      <c r="B36" s="162">
        <f t="shared" si="4"/>
        <v>46140</v>
      </c>
      <c r="C36" s="163">
        <f t="shared" si="0"/>
        <v>46140</v>
      </c>
      <c r="D36" s="164">
        <f>IF(VLOOKUP($B36,Datenblatt!$A$43:$A$65,1,1)=$B36,0,VLOOKUP(WEEKDAY($B36),Datenblatt!$R$33:$T$39,3,FALSE))</f>
        <v>8</v>
      </c>
      <c r="E36" s="164">
        <f>IF(VLOOKUP($B36,Datenblatt!$A$43:$A$65,1,1)=$B36,0,IF(WEEKDAY($B36)=7,1,IF(WEEKDAY($B36)=1,0,2)))</f>
        <v>2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416" t="str">
        <f>IF(VLOOKUP($B36,Datenblatt!$A$43:$A$66,1,1)=$B36,VLOOKUP($B36,Datenblatt!$A$43:$C$66,3,FALSE)," ")</f>
        <v xml:space="preserve"> </v>
      </c>
      <c r="W36" s="417"/>
      <c r="X36" s="418"/>
      <c r="AA36" s="179"/>
    </row>
    <row r="37" spans="2:128" ht="12.2" customHeight="1">
      <c r="B37" s="162">
        <f t="shared" si="4"/>
        <v>46141</v>
      </c>
      <c r="C37" s="163">
        <f t="shared" si="0"/>
        <v>46141</v>
      </c>
      <c r="D37" s="164">
        <f>IF(VLOOKUP($B37,Datenblatt!$A$43:$A$65,1,1)=$B37,0,VLOOKUP(WEEKDAY($B37),Datenblatt!$R$33:$T$39,3,FALSE))</f>
        <v>8</v>
      </c>
      <c r="E37" s="164">
        <f>IF(VLOOKUP($B37,Datenblatt!$A$43:$A$65,1,1)=$B37,0,IF(WEEKDAY($B37)=7,1,IF(WEEKDAY($B37)=1,0,2)))</f>
        <v>2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416" t="str">
        <f>IF(VLOOKUP($B37,Datenblatt!$A$43:$A$66,1,1)=$B37,VLOOKUP($B37,Datenblatt!$A$43:$C$66,3,FALSE)," ")</f>
        <v xml:space="preserve"> </v>
      </c>
      <c r="W37" s="417"/>
      <c r="X37" s="418"/>
      <c r="AA37" s="179"/>
    </row>
    <row r="38" spans="2:128" ht="12.2" customHeight="1">
      <c r="B38" s="162">
        <f t="shared" si="4"/>
        <v>46142</v>
      </c>
      <c r="C38" s="163">
        <f t="shared" si="0"/>
        <v>46142</v>
      </c>
      <c r="D38" s="164">
        <f>IF(VLOOKUP($B38,Datenblatt!$A$43:$A$65,1,1)=$B38,0,VLOOKUP(WEEKDAY($B38),Datenblatt!$R$33:$T$39,3,FALSE))</f>
        <v>8</v>
      </c>
      <c r="E38" s="164">
        <f>IF(VLOOKUP($B38,Datenblatt!$A$43:$A$65,1,1)=$B38,0,IF(WEEKDAY($B38)=7,1,IF(WEEKDAY($B38)=1,0,2)))</f>
        <v>2</v>
      </c>
      <c r="F38" s="165"/>
      <c r="G38" s="166"/>
      <c r="H38" s="167"/>
      <c r="I38" s="168"/>
      <c r="J38" s="167"/>
      <c r="K38" s="168"/>
      <c r="L38" s="167"/>
      <c r="M38" s="169"/>
      <c r="N38" s="170"/>
      <c r="O38" s="170"/>
      <c r="P38" s="171"/>
      <c r="Q38" s="172"/>
      <c r="R38" s="173" t="str">
        <f t="shared" si="1"/>
        <v/>
      </c>
      <c r="S38" s="174" t="str">
        <f t="shared" si="2"/>
        <v/>
      </c>
      <c r="T38" s="175" t="str">
        <f t="shared" si="3"/>
        <v/>
      </c>
      <c r="U38" s="176"/>
      <c r="V38" s="416" t="str">
        <f>IF(VLOOKUP($B38,Datenblatt!$A$43:$A$66,1,1)=$B38,VLOOKUP($B38,Datenblatt!$A$43:$C$66,3,FALSE)," ")</f>
        <v xml:space="preserve"> </v>
      </c>
      <c r="W38" s="417"/>
      <c r="X38" s="418"/>
      <c r="AA38" s="179"/>
    </row>
    <row r="39" spans="2:128" ht="12.2" customHeight="1" thickBot="1">
      <c r="B39" s="162"/>
      <c r="C39" s="163"/>
      <c r="D39" s="164"/>
      <c r="E39" s="164"/>
      <c r="F39" s="206"/>
      <c r="G39" s="207"/>
      <c r="H39" s="208"/>
      <c r="I39" s="209"/>
      <c r="J39" s="208"/>
      <c r="K39" s="209"/>
      <c r="L39" s="210"/>
      <c r="M39" s="211"/>
      <c r="N39" s="212"/>
      <c r="O39" s="212"/>
      <c r="P39" s="213"/>
      <c r="Q39" s="214"/>
      <c r="R39" s="177" t="str">
        <f t="shared" si="1"/>
        <v/>
      </c>
      <c r="S39" s="178" t="str">
        <f t="shared" si="2"/>
        <v/>
      </c>
      <c r="T39" s="175" t="str">
        <f t="shared" si="3"/>
        <v/>
      </c>
      <c r="U39" s="176"/>
      <c r="V39" s="424"/>
      <c r="W39" s="425"/>
      <c r="X39" s="426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412"/>
      <c r="X40" s="41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20  Arbeitstage in diesem Monat</v>
      </c>
      <c r="C41" s="190"/>
      <c r="D41" s="215"/>
      <c r="E41" s="215"/>
      <c r="F41" s="215"/>
      <c r="G41" s="216"/>
      <c r="H41" s="215"/>
      <c r="I41" s="66"/>
      <c r="J41" s="66"/>
      <c r="K41" s="66"/>
      <c r="L41" s="66"/>
      <c r="M41" s="24" t="str">
        <f>"Sollstunden für April "&amp;Datenblatt!$F$5&amp;":"</f>
        <v>Sollstunden für April 2026:</v>
      </c>
      <c r="N41" s="66"/>
      <c r="O41" s="66"/>
      <c r="P41" s="194"/>
      <c r="R41" s="195"/>
      <c r="S41" s="398">
        <f>SUM(D9:D39)</f>
        <v>160</v>
      </c>
      <c r="T41" s="398"/>
      <c r="U41" s="196"/>
      <c r="V41" s="196"/>
      <c r="W41" s="197"/>
      <c r="X41" s="130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20" t="s">
        <v>239</v>
      </c>
      <c r="J42" s="420"/>
      <c r="K42" s="198"/>
      <c r="M42" s="198" t="str">
        <f>IF(S42&gt;=0,"Zeitguthaben im Monat April "&amp;Datenblatt!F5&amp;":   ","Zeitdefizit im Monat April "&amp;Datenblatt!F5&amp;":   ")</f>
        <v xml:space="preserve">Zeitguthaben im Monat April 2026:   </v>
      </c>
      <c r="N42" s="198"/>
      <c r="O42" s="198"/>
      <c r="R42" s="199"/>
      <c r="S42" s="421" t="s">
        <v>239</v>
      </c>
      <c r="T42" s="421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März "&amp;Datenblatt!F5-1&amp;":   ","  - Zeitdefizit aus März "&amp;Datenblatt!F5&amp;":   ")</f>
        <v xml:space="preserve">  + Zeitguthaben aus März 2025:   </v>
      </c>
      <c r="S43" s="427" t="str">
        <f>Jän!S44</f>
        <v>________ h</v>
      </c>
      <c r="T43" s="427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198" t="str">
        <f>"Übertrag für Mai "&amp;Datenblatt!F5</f>
        <v>Übertrag für Mai 2026</v>
      </c>
      <c r="R44" s="204"/>
      <c r="S44" s="423" t="s">
        <v>239</v>
      </c>
      <c r="T44" s="423"/>
      <c r="U44" s="200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19">
        <f ca="1">TODAY()</f>
        <v>45935</v>
      </c>
      <c r="H45" s="419"/>
      <c r="I45" s="419"/>
      <c r="T45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G45:I45"/>
    <mergeCell ref="I42:J42"/>
    <mergeCell ref="S42:T42"/>
    <mergeCell ref="S43:T43"/>
    <mergeCell ref="S44:T44"/>
    <mergeCell ref="W7:W8"/>
    <mergeCell ref="F7:G7"/>
    <mergeCell ref="S7:S8"/>
    <mergeCell ref="X7:X8"/>
    <mergeCell ref="W40:X40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S41:T41"/>
    <mergeCell ref="L2:P2"/>
    <mergeCell ref="T4:U4"/>
    <mergeCell ref="T5:U5"/>
    <mergeCell ref="H7:M7"/>
    <mergeCell ref="N7:O7"/>
    <mergeCell ref="P7:P8"/>
    <mergeCell ref="Q7:Q8"/>
  </mergeCells>
  <phoneticPr fontId="2" type="noConversion"/>
  <conditionalFormatting sqref="A15 DY15:IV15">
    <cfRule type="cellIs" dxfId="58" priority="1" stopIfTrue="1" operator="equal">
      <formula>MATCH($E15,0)</formula>
    </cfRule>
    <cfRule type="expression" dxfId="57" priority="2" stopIfTrue="1">
      <formula>"WOCHENTAG($B8)=1"</formula>
    </cfRule>
    <cfRule type="expression" dxfId="56" priority="3" stopIfTrue="1">
      <formula>"WOCHENTAG($B8)=7"</formula>
    </cfRule>
  </conditionalFormatting>
  <conditionalFormatting sqref="B9:C38">
    <cfRule type="expression" dxfId="55" priority="8" stopIfTrue="1">
      <formula>($E9=1)</formula>
    </cfRule>
  </conditionalFormatting>
  <conditionalFormatting sqref="V9 B9:T38 V10:X10 V11:V38">
    <cfRule type="expression" dxfId="54" priority="4" stopIfTrue="1">
      <formula>($E9=0)</formula>
    </cfRule>
    <cfRule type="expression" dxfId="53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DX48"/>
  <sheetViews>
    <sheetView showGridLines="0" workbookViewId="0">
      <pane ySplit="8" topLeftCell="A9" activePane="bottomLeft" state="frozen"/>
      <selection activeCell="V13" sqref="V13:X13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140625" style="94" customWidth="1"/>
    <col min="4" max="4" width="0.28515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399">
        <f>DATE(Datenblatt!F5,5,1)</f>
        <v>46143</v>
      </c>
      <c r="M2" s="399"/>
      <c r="N2" s="399"/>
      <c r="O2" s="399"/>
      <c r="P2" s="399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"&amp;Datenblatt!$W$33&amp;";"&amp;"    Di: "&amp;Datenblatt!$W$34&amp;";"&amp;"    Mi: "&amp;Datenblatt!$W$35&amp;";"&amp;"    Do: "&amp;Datenblatt!$W$36&amp;";"&amp;"    Fr: "&amp;Datenblatt!$W$37&amp;";"&amp;"    Sa: "&amp;Datenblatt!$W$38&amp;";"&amp;"    So: "&amp;Datenblatt!$W$39&amp;""&amp;"     -    Wochenarbeitszeit:  "&amp;Datenblatt!$W$40&amp;" h"</f>
        <v>Arbeitsstunden/Tag:  Mo: 8;    Di: 8;    Mi: 8;    Do: 8;    Fr: 8;    Sa: 0;    So: 0     -    Wochenarbeitszeit:  40 h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01" t="s">
        <v>238</v>
      </c>
      <c r="U4" s="401"/>
      <c r="V4" s="147"/>
      <c r="W4" s="148" t="str">
        <f>"Urlaubsanspruch per 01.05."&amp;Datenblatt!$F$5</f>
        <v>Urlaubsanspruch per 01.05.2026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"&amp;IF(Datenblatt!W42=1,Datenblatt!D34,IF(Datenblatt!W42=2,Datenblatt!D35,IF(Datenblatt!W42=3,Datenblatt!D36,IF(Datenblatt!W42=4,Datenblatt!D37))))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01" t="s">
        <v>238</v>
      </c>
      <c r="U5" s="401"/>
      <c r="V5" s="147"/>
      <c r="W5" s="149" t="str">
        <f>"Resturlaub per 31.05."&amp;Datenblatt!$F$5</f>
        <v>Resturlaub per 31.05.2026</v>
      </c>
      <c r="X5" s="130" t="s">
        <v>144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408" t="s">
        <v>126</v>
      </c>
      <c r="G7" s="408"/>
      <c r="H7" s="402" t="s">
        <v>127</v>
      </c>
      <c r="I7" s="402"/>
      <c r="J7" s="402"/>
      <c r="K7" s="402"/>
      <c r="L7" s="402"/>
      <c r="M7" s="402"/>
      <c r="N7" s="403" t="s">
        <v>128</v>
      </c>
      <c r="O7" s="403"/>
      <c r="P7" s="404" t="s">
        <v>129</v>
      </c>
      <c r="Q7" s="405" t="s">
        <v>130</v>
      </c>
      <c r="R7" s="150" t="s">
        <v>131</v>
      </c>
      <c r="S7" s="409" t="s">
        <v>132</v>
      </c>
      <c r="T7" s="151" t="s">
        <v>133</v>
      </c>
      <c r="U7" s="152"/>
      <c r="V7" s="350"/>
      <c r="W7" s="406" t="s">
        <v>134</v>
      </c>
      <c r="X7" s="410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04"/>
      <c r="Q8" s="405"/>
      <c r="R8" s="158" t="s">
        <v>138</v>
      </c>
      <c r="S8" s="409"/>
      <c r="T8" s="159" t="s">
        <v>138</v>
      </c>
      <c r="U8" s="160"/>
      <c r="V8" s="351"/>
      <c r="W8" s="407"/>
      <c r="X8" s="411"/>
    </row>
    <row r="9" spans="2:128" s="161" customFormat="1" ht="12.2" customHeight="1">
      <c r="B9" s="162">
        <f>L2</f>
        <v>46143</v>
      </c>
      <c r="C9" s="163">
        <f t="shared" ref="C9:C39" si="0">B9</f>
        <v>46143</v>
      </c>
      <c r="D9" s="164">
        <f>IF(VLOOKUP($B9,Datenblatt!$A$43:$A$65,1,1)=$B9,0,VLOOKUP(WEEKDAY($B9),Datenblatt!$U$33:$W$39,3,FALSE))</f>
        <v>0</v>
      </c>
      <c r="E9" s="164">
        <f>IF(VLOOKUP($B9,Datenblatt!$A$43:$A$65,1,1)=$B9,0,IF(WEEKDAY($B9)=7,1,IF(WEEKDAY($B9)=1,0,2)))</f>
        <v>0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3" t="str">
        <f>IF(VLOOKUP($B9,Datenblatt!$A$43:$A$66,1,1)=$B9,VLOOKUP($B9,Datenblatt!$A$43:$C$66,3,FALSE)," ")</f>
        <v>Staatsfeiertag</v>
      </c>
      <c r="W9" s="414"/>
      <c r="X9" s="41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9" si="4">B9+1</f>
        <v>46144</v>
      </c>
      <c r="C10" s="163">
        <f t="shared" si="0"/>
        <v>46144</v>
      </c>
      <c r="D10" s="164">
        <f>IF(VLOOKUP($B10,Datenblatt!$A$43:$A$65,1,1)=$B10,0,VLOOKUP(WEEKDAY($B10),Datenblatt!$U$33:$W$39,3,FALSE))</f>
        <v>0</v>
      </c>
      <c r="E10" s="164">
        <f>IF(VLOOKUP($B10,Datenblatt!$A$43:$A$65,1,1)=$B10,0,IF(WEEKDAY($B10)=7,1,IF(WEEKDAY($B10)=1,0,2)))</f>
        <v>1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 xml:space="preserve"> </v>
      </c>
      <c r="W10" s="379"/>
      <c r="X10" s="380"/>
    </row>
    <row r="11" spans="2:128" ht="12.2" customHeight="1">
      <c r="B11" s="162">
        <f t="shared" si="4"/>
        <v>46145</v>
      </c>
      <c r="C11" s="163">
        <f t="shared" si="0"/>
        <v>46145</v>
      </c>
      <c r="D11" s="164">
        <f>IF(VLOOKUP($B11,Datenblatt!$A$43:$A$65,1,1)=$B11,0,VLOOKUP(WEEKDAY($B11),Datenblatt!$U$33:$W$39,3,FALSE))</f>
        <v>0</v>
      </c>
      <c r="E11" s="164">
        <f>IF(VLOOKUP($B11,Datenblatt!$A$43:$A$65,1,1)=$B11,0,IF(WEEKDAY($B11)=7,1,IF(WEEKDAY($B11)=1,0,2)))</f>
        <v>0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416" t="str">
        <f>IF(VLOOKUP($B11,Datenblatt!$A$43:$A$66,1,1)=$B11,VLOOKUP($B11,Datenblatt!$A$43:$C$66,3,FALSE)," ")</f>
        <v xml:space="preserve"> </v>
      </c>
      <c r="W11" s="417"/>
      <c r="X11" s="418"/>
      <c r="AA11" s="179"/>
    </row>
    <row r="12" spans="2:128" ht="12.2" customHeight="1">
      <c r="B12" s="162">
        <f t="shared" si="4"/>
        <v>46146</v>
      </c>
      <c r="C12" s="163">
        <f t="shared" si="0"/>
        <v>46146</v>
      </c>
      <c r="D12" s="164">
        <f>IF(VLOOKUP($B12,Datenblatt!$A$43:$A$65,1,1)=$B12,0,VLOOKUP(WEEKDAY($B12),Datenblatt!$U$33:$W$39,3,FALSE))</f>
        <v>8</v>
      </c>
      <c r="E12" s="164">
        <f>IF(VLOOKUP($B12,Datenblatt!$A$43:$A$65,1,1)=$B12,0,IF(WEEKDAY($B12)=7,1,IF(WEEKDAY($B12)=1,0,2)))</f>
        <v>2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416" t="str">
        <f>IF(VLOOKUP($B12,Datenblatt!$A$43:$A$66,1,1)=$B12,VLOOKUP($B12,Datenblatt!$A$43:$C$66,3,FALSE)," ")</f>
        <v xml:space="preserve"> </v>
      </c>
      <c r="W12" s="417"/>
      <c r="X12" s="418"/>
      <c r="AA12" s="179"/>
    </row>
    <row r="13" spans="2:128" s="161" customFormat="1" ht="12.2" customHeight="1">
      <c r="B13" s="162">
        <f t="shared" si="4"/>
        <v>46147</v>
      </c>
      <c r="C13" s="163">
        <f t="shared" si="0"/>
        <v>46147</v>
      </c>
      <c r="D13" s="164">
        <f>IF(VLOOKUP($B13,Datenblatt!$A$43:$A$65,1,1)=$B13,0,VLOOKUP(WEEKDAY($B13),Datenblatt!$U$33:$W$39,3,FALSE))</f>
        <v>8</v>
      </c>
      <c r="E13" s="164">
        <f>IF(VLOOKUP($B13,Datenblatt!$A$43:$A$65,1,1)=$B13,0,IF(WEEKDAY($B13)=7,1,IF(WEEKDAY($B13)=1,0,2)))</f>
        <v>2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416" t="str">
        <f>IF(VLOOKUP($B13,Datenblatt!$A$43:$A$66,1,1)=$B13,VLOOKUP($B13,Datenblatt!$A$43:$C$66,3,FALSE)," ")</f>
        <v xml:space="preserve"> </v>
      </c>
      <c r="W13" s="417"/>
      <c r="X13" s="418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46148</v>
      </c>
      <c r="C14" s="163">
        <f t="shared" si="0"/>
        <v>46148</v>
      </c>
      <c r="D14" s="164">
        <f>IF(VLOOKUP($B14,Datenblatt!$A$43:$A$65,1,1)=$B14,0,VLOOKUP(WEEKDAY($B14),Datenblatt!$U$33:$W$39,3,FALSE))</f>
        <v>8</v>
      </c>
      <c r="E14" s="164">
        <f>IF(VLOOKUP($B14,Datenblatt!$A$43:$A$65,1,1)=$B14,0,IF(WEEKDAY($B14)=7,1,IF(WEEKDAY($B14)=1,0,2)))</f>
        <v>2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416" t="str">
        <f>IF(VLOOKUP($B14,Datenblatt!$A$43:$A$66,1,1)=$B14,VLOOKUP($B14,Datenblatt!$A$43:$C$66,3,FALSE)," ")</f>
        <v xml:space="preserve"> </v>
      </c>
      <c r="W14" s="417"/>
      <c r="X14" s="418"/>
      <c r="AA14" s="179"/>
    </row>
    <row r="15" spans="2:128" ht="12.2" customHeight="1">
      <c r="B15" s="162">
        <f t="shared" si="4"/>
        <v>46149</v>
      </c>
      <c r="C15" s="163">
        <f t="shared" si="0"/>
        <v>46149</v>
      </c>
      <c r="D15" s="164">
        <f>IF(VLOOKUP($B15,Datenblatt!$A$43:$A$65,1,1)=$B15,0,VLOOKUP(WEEKDAY($B15),Datenblatt!$U$33:$W$39,3,FALSE))</f>
        <v>8</v>
      </c>
      <c r="E15" s="164">
        <f>IF(VLOOKUP($B15,Datenblatt!$A$43:$A$65,1,1)=$B15,0,IF(WEEKDAY($B15)=7,1,IF(WEEKDAY($B15)=1,0,2)))</f>
        <v>2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416" t="str">
        <f>IF(VLOOKUP($B15,Datenblatt!$A$43:$A$66,1,1)=$B15,VLOOKUP($B15,Datenblatt!$A$43:$C$66,3,FALSE)," ")</f>
        <v xml:space="preserve"> </v>
      </c>
      <c r="W15" s="417"/>
      <c r="X15" s="418"/>
      <c r="AA15" s="179"/>
    </row>
    <row r="16" spans="2:128" ht="12.2" customHeight="1">
      <c r="B16" s="162">
        <f t="shared" si="4"/>
        <v>46150</v>
      </c>
      <c r="C16" s="163">
        <f t="shared" si="0"/>
        <v>46150</v>
      </c>
      <c r="D16" s="164">
        <f>IF(VLOOKUP($B16,Datenblatt!$A$43:$A$65,1,1)=$B16,0,VLOOKUP(WEEKDAY($B16),Datenblatt!$U$33:$W$39,3,FALSE))</f>
        <v>8</v>
      </c>
      <c r="E16" s="164">
        <f>IF(VLOOKUP($B16,Datenblatt!$A$43:$A$65,1,1)=$B16,0,IF(WEEKDAY($B16)=7,1,IF(WEEKDAY($B16)=1,0,2)))</f>
        <v>2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416" t="str">
        <f>IF(VLOOKUP($B16,Datenblatt!$A$43:$A$66,1,1)=$B16,VLOOKUP($B16,Datenblatt!$A$43:$C$66,3,FALSE)," ")</f>
        <v xml:space="preserve"> </v>
      </c>
      <c r="W16" s="417"/>
      <c r="X16" s="418"/>
      <c r="AA16" s="179"/>
    </row>
    <row r="17" spans="2:128" ht="12.2" customHeight="1">
      <c r="B17" s="162">
        <f t="shared" si="4"/>
        <v>46151</v>
      </c>
      <c r="C17" s="163">
        <f t="shared" si="0"/>
        <v>46151</v>
      </c>
      <c r="D17" s="164">
        <f>IF(VLOOKUP($B17,Datenblatt!$A$43:$A$65,1,1)=$B17,0,VLOOKUP(WEEKDAY($B17),Datenblatt!$U$33:$W$39,3,FALSE))</f>
        <v>0</v>
      </c>
      <c r="E17" s="164">
        <f>IF(VLOOKUP($B17,Datenblatt!$A$43:$A$65,1,1)=$B17,0,IF(WEEKDAY($B17)=7,1,IF(WEEKDAY($B17)=1,0,2)))</f>
        <v>1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416" t="str">
        <f>IF(VLOOKUP($B17,Datenblatt!$A$43:$A$66,1,1)=$B17,VLOOKUP($B17,Datenblatt!$A$43:$C$66,3,FALSE)," ")</f>
        <v xml:space="preserve"> </v>
      </c>
      <c r="W17" s="417"/>
      <c r="X17" s="418"/>
      <c r="AA17" s="179"/>
    </row>
    <row r="18" spans="2:128" ht="12.2" customHeight="1">
      <c r="B18" s="162">
        <f t="shared" si="4"/>
        <v>46152</v>
      </c>
      <c r="C18" s="163">
        <f t="shared" si="0"/>
        <v>46152</v>
      </c>
      <c r="D18" s="164">
        <f>IF(VLOOKUP($B18,Datenblatt!$A$43:$A$65,1,1)=$B18,0,VLOOKUP(WEEKDAY($B18),Datenblatt!$U$33:$W$39,3,FALSE))</f>
        <v>0</v>
      </c>
      <c r="E18" s="164">
        <f>IF(VLOOKUP($B18,Datenblatt!$A$43:$A$65,1,1)=$B18,0,IF(WEEKDAY($B18)=7,1,IF(WEEKDAY($B18)=1,0,2)))</f>
        <v>0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416" t="str">
        <f>IF(VLOOKUP($B18,Datenblatt!$A$43:$A$66,1,1)=$B18,VLOOKUP($B18,Datenblatt!$A$43:$C$66,3,FALSE)," ")</f>
        <v xml:space="preserve"> </v>
      </c>
      <c r="W18" s="417"/>
      <c r="X18" s="418"/>
      <c r="AA18" s="179"/>
    </row>
    <row r="19" spans="2:128" ht="12.2" customHeight="1">
      <c r="B19" s="162">
        <f t="shared" si="4"/>
        <v>46153</v>
      </c>
      <c r="C19" s="163">
        <f t="shared" si="0"/>
        <v>46153</v>
      </c>
      <c r="D19" s="164">
        <f>IF(VLOOKUP($B19,Datenblatt!$A$43:$A$65,1,1)=$B19,0,VLOOKUP(WEEKDAY($B19),Datenblatt!$U$33:$W$39,3,FALSE))</f>
        <v>8</v>
      </c>
      <c r="E19" s="164">
        <f>IF(VLOOKUP($B19,Datenblatt!$A$43:$A$65,1,1)=$B19,0,IF(WEEKDAY($B19)=7,1,IF(WEEKDAY($B19)=1,0,2)))</f>
        <v>2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416" t="str">
        <f>IF(VLOOKUP($B19,Datenblatt!$A$43:$A$66,1,1)=$B19,VLOOKUP($B19,Datenblatt!$A$43:$C$66,3,FALSE)," ")</f>
        <v xml:space="preserve"> </v>
      </c>
      <c r="W19" s="417"/>
      <c r="X19" s="418"/>
      <c r="AA19" s="179"/>
    </row>
    <row r="20" spans="2:128" ht="12.2" customHeight="1">
      <c r="B20" s="162">
        <f t="shared" si="4"/>
        <v>46154</v>
      </c>
      <c r="C20" s="163">
        <f t="shared" si="0"/>
        <v>46154</v>
      </c>
      <c r="D20" s="164">
        <f>IF(VLOOKUP($B20,Datenblatt!$A$43:$A$65,1,1)=$B20,0,VLOOKUP(WEEKDAY($B20),Datenblatt!$U$33:$W$39,3,FALSE))</f>
        <v>8</v>
      </c>
      <c r="E20" s="164">
        <f>IF(VLOOKUP($B20,Datenblatt!$A$43:$A$65,1,1)=$B20,0,IF(WEEKDAY($B20)=7,1,IF(WEEKDAY($B20)=1,0,2)))</f>
        <v>2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416" t="str">
        <f>IF(VLOOKUP($B20,Datenblatt!$A$43:$A$66,1,1)=$B20,VLOOKUP($B20,Datenblatt!$A$43:$C$66,3,FALSE)," ")</f>
        <v xml:space="preserve"> </v>
      </c>
      <c r="W20" s="417"/>
      <c r="X20" s="418"/>
      <c r="AA20" s="179"/>
    </row>
    <row r="21" spans="2:128" ht="12.2" customHeight="1">
      <c r="B21" s="162">
        <f t="shared" si="4"/>
        <v>46155</v>
      </c>
      <c r="C21" s="163">
        <f t="shared" si="0"/>
        <v>46155</v>
      </c>
      <c r="D21" s="164">
        <f>IF(VLOOKUP($B21,Datenblatt!$A$43:$A$65,1,1)=$B21,0,VLOOKUP(WEEKDAY($B21),Datenblatt!$U$33:$W$39,3,FALSE))</f>
        <v>8</v>
      </c>
      <c r="E21" s="164">
        <f>IF(VLOOKUP($B21,Datenblatt!$A$43:$A$65,1,1)=$B21,0,IF(WEEKDAY($B21)=7,1,IF(WEEKDAY($B21)=1,0,2)))</f>
        <v>2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416" t="str">
        <f>IF(VLOOKUP($B21,Datenblatt!$A$43:$A$66,1,1)=$B21,VLOOKUP($B21,Datenblatt!$A$43:$C$66,3,FALSE)," ")</f>
        <v xml:space="preserve"> </v>
      </c>
      <c r="W21" s="417"/>
      <c r="X21" s="418"/>
      <c r="AA21" s="179"/>
    </row>
    <row r="22" spans="2:128" s="180" customFormat="1" ht="12.2" customHeight="1">
      <c r="B22" s="162">
        <f t="shared" si="4"/>
        <v>46156</v>
      </c>
      <c r="C22" s="163">
        <f t="shared" si="0"/>
        <v>46156</v>
      </c>
      <c r="D22" s="164">
        <f>IF(VLOOKUP($B22,Datenblatt!$A$43:$A$65,1,1)=$B22,0,VLOOKUP(WEEKDAY($B22),Datenblatt!$U$33:$W$39,3,FALSE))</f>
        <v>0</v>
      </c>
      <c r="E22" s="164">
        <f>IF(VLOOKUP($B22,Datenblatt!$A$43:$A$65,1,1)=$B22,0,IF(WEEKDAY($B22)=7,1,IF(WEEKDAY($B22)=1,0,2)))</f>
        <v>0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416" t="str">
        <f>IF(VLOOKUP($B22,Datenblatt!$A$43:$A$66,1,1)=$B22,VLOOKUP($B22,Datenblatt!$A$43:$C$66,3,FALSE)," ")</f>
        <v>Christi Himmelfahrt</v>
      </c>
      <c r="W22" s="417"/>
      <c r="X22" s="418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46157</v>
      </c>
      <c r="C23" s="163">
        <f t="shared" si="0"/>
        <v>46157</v>
      </c>
      <c r="D23" s="164">
        <f>IF(VLOOKUP($B23,Datenblatt!$A$43:$A$65,1,1)=$B23,0,VLOOKUP(WEEKDAY($B23),Datenblatt!$U$33:$W$39,3,FALSE))</f>
        <v>8</v>
      </c>
      <c r="E23" s="164">
        <f>IF(VLOOKUP($B23,Datenblatt!$A$43:$A$65,1,1)=$B23,0,IF(WEEKDAY($B23)=7,1,IF(WEEKDAY($B23)=1,0,2)))</f>
        <v>2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416" t="str">
        <f>IF(VLOOKUP($B23,Datenblatt!$A$43:$A$66,1,1)=$B23,VLOOKUP($B23,Datenblatt!$A$43:$C$66,3,FALSE)," ")</f>
        <v xml:space="preserve"> </v>
      </c>
      <c r="W23" s="417"/>
      <c r="X23" s="418"/>
      <c r="AA23" s="179"/>
    </row>
    <row r="24" spans="2:128" ht="12.2" customHeight="1">
      <c r="B24" s="162">
        <f t="shared" si="4"/>
        <v>46158</v>
      </c>
      <c r="C24" s="163">
        <f t="shared" si="0"/>
        <v>46158</v>
      </c>
      <c r="D24" s="164">
        <f>IF(VLOOKUP($B24,Datenblatt!$A$43:$A$65,1,1)=$B24,0,VLOOKUP(WEEKDAY($B24),Datenblatt!$U$33:$W$39,3,FALSE))</f>
        <v>0</v>
      </c>
      <c r="E24" s="164">
        <f>IF(VLOOKUP($B24,Datenblatt!$A$43:$A$65,1,1)=$B24,0,IF(WEEKDAY($B24)=7,1,IF(WEEKDAY($B24)=1,0,2)))</f>
        <v>1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416" t="str">
        <f>IF(VLOOKUP($B24,Datenblatt!$A$43:$A$66,1,1)=$B24,VLOOKUP($B24,Datenblatt!$A$43:$C$66,3,FALSE)," ")</f>
        <v xml:space="preserve"> </v>
      </c>
      <c r="W24" s="417"/>
      <c r="X24" s="418"/>
      <c r="AA24" s="179"/>
    </row>
    <row r="25" spans="2:128" ht="12.2" customHeight="1">
      <c r="B25" s="162">
        <f t="shared" si="4"/>
        <v>46159</v>
      </c>
      <c r="C25" s="163">
        <f t="shared" si="0"/>
        <v>46159</v>
      </c>
      <c r="D25" s="164">
        <f>IF(VLOOKUP($B25,Datenblatt!$A$43:$A$65,1,1)=$B25,0,VLOOKUP(WEEKDAY($B25),Datenblatt!$U$33:$W$39,3,FALSE))</f>
        <v>0</v>
      </c>
      <c r="E25" s="164">
        <f>IF(VLOOKUP($B25,Datenblatt!$A$43:$A$65,1,1)=$B25,0,IF(WEEKDAY($B25)=7,1,IF(WEEKDAY($B25)=1,0,2)))</f>
        <v>0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416" t="str">
        <f>IF(VLOOKUP($B25,Datenblatt!$A$43:$A$66,1,1)=$B25,VLOOKUP($B25,Datenblatt!$A$43:$C$66,3,FALSE)," ")</f>
        <v xml:space="preserve"> </v>
      </c>
      <c r="W25" s="417"/>
      <c r="X25" s="418"/>
      <c r="AA25" s="179"/>
    </row>
    <row r="26" spans="2:128" ht="12.2" customHeight="1">
      <c r="B26" s="162">
        <f t="shared" si="4"/>
        <v>46160</v>
      </c>
      <c r="C26" s="163">
        <f t="shared" si="0"/>
        <v>46160</v>
      </c>
      <c r="D26" s="164">
        <f>IF(VLOOKUP($B26,Datenblatt!$A$43:$A$65,1,1)=$B26,0,VLOOKUP(WEEKDAY($B26),Datenblatt!$U$33:$W$39,3,FALSE))</f>
        <v>8</v>
      </c>
      <c r="E26" s="164">
        <f>IF(VLOOKUP($B26,Datenblatt!$A$43:$A$65,1,1)=$B26,0,IF(WEEKDAY($B26)=7,1,IF(WEEKDAY($B26)=1,0,2)))</f>
        <v>2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416" t="str">
        <f>IF(VLOOKUP($B26,Datenblatt!$A$43:$A$66,1,1)=$B26,VLOOKUP($B26,Datenblatt!$A$43:$C$66,3,FALSE)," ")</f>
        <v xml:space="preserve"> </v>
      </c>
      <c r="W26" s="417"/>
      <c r="X26" s="418"/>
      <c r="AA26" s="179"/>
    </row>
    <row r="27" spans="2:128" ht="12.2" customHeight="1">
      <c r="B27" s="162">
        <f t="shared" si="4"/>
        <v>46161</v>
      </c>
      <c r="C27" s="163">
        <f t="shared" si="0"/>
        <v>46161</v>
      </c>
      <c r="D27" s="164">
        <f>IF(VLOOKUP($B27,Datenblatt!$A$43:$A$65,1,1)=$B27,0,VLOOKUP(WEEKDAY($B27),Datenblatt!$U$33:$W$39,3,FALSE))</f>
        <v>8</v>
      </c>
      <c r="E27" s="164">
        <f>IF(VLOOKUP($B27,Datenblatt!$A$43:$A$65,1,1)=$B27,0,IF(WEEKDAY($B27)=7,1,IF(WEEKDAY($B27)=1,0,2)))</f>
        <v>2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416" t="str">
        <f>IF(VLOOKUP($B27,Datenblatt!$A$43:$A$66,1,1)=$B27,VLOOKUP($B27,Datenblatt!$A$43:$C$66,3,FALSE)," ")</f>
        <v xml:space="preserve"> </v>
      </c>
      <c r="W27" s="417"/>
      <c r="X27" s="418"/>
      <c r="AA27" s="179"/>
    </row>
    <row r="28" spans="2:128" ht="12.2" customHeight="1">
      <c r="B28" s="162">
        <f t="shared" si="4"/>
        <v>46162</v>
      </c>
      <c r="C28" s="163">
        <f t="shared" si="0"/>
        <v>46162</v>
      </c>
      <c r="D28" s="164">
        <f>IF(VLOOKUP($B28,Datenblatt!$A$43:$A$65,1,1)=$B28,0,VLOOKUP(WEEKDAY($B28),Datenblatt!$U$33:$W$39,3,FALSE))</f>
        <v>8</v>
      </c>
      <c r="E28" s="164">
        <f>IF(VLOOKUP($B28,Datenblatt!$A$43:$A$65,1,1)=$B28,0,IF(WEEKDAY($B28)=7,1,IF(WEEKDAY($B28)=1,0,2)))</f>
        <v>2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416" t="str">
        <f>IF(VLOOKUP($B28,Datenblatt!$A$43:$A$66,1,1)=$B28,VLOOKUP($B28,Datenblatt!$A$43:$C$66,3,FALSE)," ")</f>
        <v xml:space="preserve"> </v>
      </c>
      <c r="W28" s="417"/>
      <c r="X28" s="418"/>
      <c r="AA28" s="179"/>
    </row>
    <row r="29" spans="2:128" ht="12.2" customHeight="1">
      <c r="B29" s="162">
        <f t="shared" si="4"/>
        <v>46163</v>
      </c>
      <c r="C29" s="163">
        <f t="shared" si="0"/>
        <v>46163</v>
      </c>
      <c r="D29" s="164">
        <f>IF(VLOOKUP($B29,Datenblatt!$A$43:$A$65,1,1)=$B29,0,VLOOKUP(WEEKDAY($B29),Datenblatt!$U$33:$W$39,3,FALSE))</f>
        <v>8</v>
      </c>
      <c r="E29" s="164">
        <f>IF(VLOOKUP($B29,Datenblatt!$A$43:$A$65,1,1)=$B29,0,IF(WEEKDAY($B29)=7,1,IF(WEEKDAY($B29)=1,0,2)))</f>
        <v>2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416" t="str">
        <f>IF(VLOOKUP($B29,Datenblatt!$A$43:$A$66,1,1)=$B29,VLOOKUP($B29,Datenblatt!$A$43:$C$66,3,FALSE)," ")</f>
        <v xml:space="preserve"> </v>
      </c>
      <c r="W29" s="417"/>
      <c r="X29" s="418"/>
      <c r="AA29" s="179"/>
    </row>
    <row r="30" spans="2:128" ht="12.2" customHeight="1">
      <c r="B30" s="162">
        <f t="shared" si="4"/>
        <v>46164</v>
      </c>
      <c r="C30" s="163">
        <f t="shared" si="0"/>
        <v>46164</v>
      </c>
      <c r="D30" s="164">
        <f>IF(VLOOKUP($B30,Datenblatt!$A$43:$A$65,1,1)=$B30,0,VLOOKUP(WEEKDAY($B30),Datenblatt!$U$33:$W$39,3,FALSE))</f>
        <v>8</v>
      </c>
      <c r="E30" s="164">
        <f>IF(VLOOKUP($B30,Datenblatt!$A$43:$A$65,1,1)=$B30,0,IF(WEEKDAY($B30)=7,1,IF(WEEKDAY($B30)=1,0,2)))</f>
        <v>2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416" t="str">
        <f>IF(VLOOKUP($B30,Datenblatt!$A$43:$A$66,1,1)=$B30,VLOOKUP($B30,Datenblatt!$A$43:$C$66,3,FALSE)," ")</f>
        <v xml:space="preserve"> </v>
      </c>
      <c r="W30" s="417"/>
      <c r="X30" s="418"/>
      <c r="AA30" s="179"/>
    </row>
    <row r="31" spans="2:128" ht="12.2" customHeight="1">
      <c r="B31" s="162">
        <f t="shared" si="4"/>
        <v>46165</v>
      </c>
      <c r="C31" s="163">
        <f t="shared" si="0"/>
        <v>46165</v>
      </c>
      <c r="D31" s="164">
        <f>IF(VLOOKUP($B31,Datenblatt!$A$43:$A$65,1,1)=$B31,0,VLOOKUP(WEEKDAY($B31),Datenblatt!$U$33:$W$39,3,FALSE))</f>
        <v>0</v>
      </c>
      <c r="E31" s="164">
        <f>IF(VLOOKUP($B31,Datenblatt!$A$43:$A$65,1,1)=$B31,0,IF(WEEKDAY($B31)=7,1,IF(WEEKDAY($B31)=1,0,2)))</f>
        <v>1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416" t="str">
        <f>IF(VLOOKUP($B31,Datenblatt!$A$43:$A$66,1,1)=$B31,VLOOKUP($B31,Datenblatt!$A$43:$C$66,3,FALSE)," ")</f>
        <v xml:space="preserve"> </v>
      </c>
      <c r="W31" s="417"/>
      <c r="X31" s="418"/>
      <c r="AA31" s="179"/>
    </row>
    <row r="32" spans="2:128" ht="12.2" customHeight="1">
      <c r="B32" s="162">
        <f t="shared" si="4"/>
        <v>46166</v>
      </c>
      <c r="C32" s="163">
        <f t="shared" si="0"/>
        <v>46166</v>
      </c>
      <c r="D32" s="164">
        <f>IF(VLOOKUP($B32,Datenblatt!$A$43:$A$65,1,1)=$B32,0,VLOOKUP(WEEKDAY($B32),Datenblatt!$U$33:$W$39,3,FALSE))</f>
        <v>0</v>
      </c>
      <c r="E32" s="164">
        <f>IF(VLOOKUP($B32,Datenblatt!$A$43:$A$65,1,1)=$B32,0,IF(WEEKDAY($B32)=7,1,IF(WEEKDAY($B32)=1,0,2)))</f>
        <v>0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416" t="str">
        <f>IF(VLOOKUP($B32,Datenblatt!$A$43:$A$66,1,1)=$B32,VLOOKUP($B32,Datenblatt!$A$43:$C$66,3,FALSE)," ")</f>
        <v>Pfingstsonntag</v>
      </c>
      <c r="W32" s="417"/>
      <c r="X32" s="418"/>
      <c r="AA32" s="179"/>
    </row>
    <row r="33" spans="2:128" ht="12.2" customHeight="1">
      <c r="B33" s="162">
        <f t="shared" si="4"/>
        <v>46167</v>
      </c>
      <c r="C33" s="163">
        <f t="shared" si="0"/>
        <v>46167</v>
      </c>
      <c r="D33" s="164">
        <f>IF(VLOOKUP($B33,Datenblatt!$A$43:$A$65,1,1)=$B33,0,VLOOKUP(WEEKDAY($B33),Datenblatt!$U$33:$W$39,3,FALSE))</f>
        <v>0</v>
      </c>
      <c r="E33" s="164">
        <f>IF(VLOOKUP($B33,Datenblatt!$A$43:$A$65,1,1)=$B33,0,IF(WEEKDAY($B33)=7,1,IF(WEEKDAY($B33)=1,0,2)))</f>
        <v>0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416" t="str">
        <f>IF(VLOOKUP($B33,Datenblatt!$A$43:$A$66,1,1)=$B33,VLOOKUP($B33,Datenblatt!$A$43:$C$66,3,FALSE)," ")</f>
        <v>Pfingstmontag</v>
      </c>
      <c r="W33" s="417"/>
      <c r="X33" s="418"/>
      <c r="AA33" s="179"/>
    </row>
    <row r="34" spans="2:128" ht="12.2" customHeight="1">
      <c r="B34" s="162">
        <f t="shared" si="4"/>
        <v>46168</v>
      </c>
      <c r="C34" s="163">
        <f t="shared" si="0"/>
        <v>46168</v>
      </c>
      <c r="D34" s="164">
        <f>IF(VLOOKUP($B34,Datenblatt!$A$43:$A$65,1,1)=$B34,0,VLOOKUP(WEEKDAY($B34),Datenblatt!$U$33:$W$39,3,FALSE))</f>
        <v>8</v>
      </c>
      <c r="E34" s="164">
        <f>IF(VLOOKUP($B34,Datenblatt!$A$43:$A$65,1,1)=$B34,0,IF(WEEKDAY($B34)=7,1,IF(WEEKDAY($B34)=1,0,2)))</f>
        <v>2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416" t="str">
        <f>IF(VLOOKUP($B34,Datenblatt!$A$43:$A$66,1,1)=$B34,VLOOKUP($B34,Datenblatt!$A$43:$C$66,3,FALSE)," ")</f>
        <v xml:space="preserve"> </v>
      </c>
      <c r="W34" s="417"/>
      <c r="X34" s="418"/>
      <c r="AA34" s="179"/>
    </row>
    <row r="35" spans="2:128" ht="12.2" customHeight="1">
      <c r="B35" s="162">
        <f t="shared" si="4"/>
        <v>46169</v>
      </c>
      <c r="C35" s="163">
        <f t="shared" si="0"/>
        <v>46169</v>
      </c>
      <c r="D35" s="164">
        <f>IF(VLOOKUP($B35,Datenblatt!$A$43:$A$65,1,1)=$B35,0,VLOOKUP(WEEKDAY($B35),Datenblatt!$U$33:$W$39,3,FALSE))</f>
        <v>8</v>
      </c>
      <c r="E35" s="164">
        <f>IF(VLOOKUP($B35,Datenblatt!$A$43:$A$65,1,1)=$B35,0,IF(WEEKDAY($B35)=7,1,IF(WEEKDAY($B35)=1,0,2)))</f>
        <v>2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416" t="str">
        <f>IF(VLOOKUP($B35,Datenblatt!$A$43:$A$66,1,1)=$B35,VLOOKUP($B35,Datenblatt!$A$43:$C$66,3,FALSE)," ")</f>
        <v xml:space="preserve"> </v>
      </c>
      <c r="W35" s="417"/>
      <c r="X35" s="418"/>
      <c r="AA35" s="179"/>
    </row>
    <row r="36" spans="2:128" ht="12.2" customHeight="1">
      <c r="B36" s="162">
        <f t="shared" si="4"/>
        <v>46170</v>
      </c>
      <c r="C36" s="163">
        <f t="shared" si="0"/>
        <v>46170</v>
      </c>
      <c r="D36" s="164">
        <f>IF(VLOOKUP($B36,Datenblatt!$A$43:$A$65,1,1)=$B36,0,VLOOKUP(WEEKDAY($B36),Datenblatt!$U$33:$W$39,3,FALSE))</f>
        <v>8</v>
      </c>
      <c r="E36" s="164">
        <f>IF(VLOOKUP($B36,Datenblatt!$A$43:$A$65,1,1)=$B36,0,IF(WEEKDAY($B36)=7,1,IF(WEEKDAY($B36)=1,0,2)))</f>
        <v>2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416" t="str">
        <f>IF(VLOOKUP($B36,Datenblatt!$A$43:$A$66,1,1)=$B36,VLOOKUP($B36,Datenblatt!$A$43:$C$66,3,FALSE)," ")</f>
        <v xml:space="preserve"> </v>
      </c>
      <c r="W36" s="417"/>
      <c r="X36" s="418"/>
      <c r="AA36" s="179"/>
    </row>
    <row r="37" spans="2:128" ht="12.2" customHeight="1">
      <c r="B37" s="162">
        <f t="shared" si="4"/>
        <v>46171</v>
      </c>
      <c r="C37" s="163">
        <f t="shared" si="0"/>
        <v>46171</v>
      </c>
      <c r="D37" s="164">
        <f>IF(VLOOKUP($B37,Datenblatt!$A$43:$A$65,1,1)=$B37,0,VLOOKUP(WEEKDAY($B37),Datenblatt!$U$33:$W$39,3,FALSE))</f>
        <v>8</v>
      </c>
      <c r="E37" s="164">
        <f>IF(VLOOKUP($B37,Datenblatt!$A$43:$A$65,1,1)=$B37,0,IF(WEEKDAY($B37)=7,1,IF(WEEKDAY($B37)=1,0,2)))</f>
        <v>2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416" t="str">
        <f>IF(VLOOKUP($B37,Datenblatt!$A$43:$A$66,1,1)=$B37,VLOOKUP($B37,Datenblatt!$A$43:$C$66,3,FALSE)," ")</f>
        <v xml:space="preserve"> </v>
      </c>
      <c r="W37" s="417"/>
      <c r="X37" s="418"/>
      <c r="AA37" s="179"/>
    </row>
    <row r="38" spans="2:128" ht="12.2" customHeight="1">
      <c r="B38" s="162">
        <f t="shared" si="4"/>
        <v>46172</v>
      </c>
      <c r="C38" s="163">
        <f t="shared" si="0"/>
        <v>46172</v>
      </c>
      <c r="D38" s="164">
        <f>IF(VLOOKUP($B38,Datenblatt!$A$43:$A$65,1,1)=$B38,0,VLOOKUP(WEEKDAY($B38),Datenblatt!$U$33:$W$39,3,FALSE))</f>
        <v>0</v>
      </c>
      <c r="E38" s="164">
        <f>IF(VLOOKUP($B38,Datenblatt!$A$43:$A$65,1,1)=$B38,0,IF(WEEKDAY($B38)=7,1,IF(WEEKDAY($B38)=1,0,2)))</f>
        <v>1</v>
      </c>
      <c r="F38" s="165"/>
      <c r="G38" s="166"/>
      <c r="H38" s="167"/>
      <c r="I38" s="168"/>
      <c r="J38" s="167"/>
      <c r="K38" s="168"/>
      <c r="L38" s="167"/>
      <c r="M38" s="169"/>
      <c r="N38" s="170"/>
      <c r="O38" s="170"/>
      <c r="P38" s="171"/>
      <c r="Q38" s="172"/>
      <c r="R38" s="173" t="str">
        <f t="shared" si="1"/>
        <v/>
      </c>
      <c r="S38" s="174" t="str">
        <f t="shared" si="2"/>
        <v/>
      </c>
      <c r="T38" s="175" t="str">
        <f t="shared" si="3"/>
        <v/>
      </c>
      <c r="U38" s="176"/>
      <c r="V38" s="416" t="str">
        <f>IF(VLOOKUP($B38,Datenblatt!$A$43:$A$66,1,1)=$B38,VLOOKUP($B38,Datenblatt!$A$43:$C$66,3,FALSE)," ")</f>
        <v xml:space="preserve"> </v>
      </c>
      <c r="W38" s="417"/>
      <c r="X38" s="418"/>
      <c r="AA38" s="179"/>
    </row>
    <row r="39" spans="2:128" ht="12.2" customHeight="1" thickBot="1">
      <c r="B39" s="162">
        <f t="shared" si="4"/>
        <v>46173</v>
      </c>
      <c r="C39" s="163">
        <f t="shared" si="0"/>
        <v>46173</v>
      </c>
      <c r="D39" s="164">
        <f>IF(VLOOKUP($B39,Datenblatt!$A$43:$A$65,1,1)=$B39,0,VLOOKUP(WEEKDAY($B39),Datenblatt!$U$33:$W$39,3,FALSE))</f>
        <v>0</v>
      </c>
      <c r="E39" s="164">
        <f>IF(VLOOKUP($B39,Datenblatt!$A$43:$A$65,1,1)=$B39,0,IF(WEEKDAY($B39)=7,1,IF(WEEKDAY($B39)=1,0,2)))</f>
        <v>0</v>
      </c>
      <c r="F39" s="165"/>
      <c r="G39" s="166"/>
      <c r="H39" s="167"/>
      <c r="I39" s="168"/>
      <c r="J39" s="167"/>
      <c r="K39" s="168"/>
      <c r="L39" s="167"/>
      <c r="M39" s="169"/>
      <c r="N39" s="170"/>
      <c r="O39" s="170"/>
      <c r="P39" s="171"/>
      <c r="Q39" s="172"/>
      <c r="R39" s="173" t="str">
        <f t="shared" si="1"/>
        <v/>
      </c>
      <c r="S39" s="174" t="str">
        <f t="shared" si="2"/>
        <v/>
      </c>
      <c r="T39" s="175" t="str">
        <f t="shared" si="3"/>
        <v/>
      </c>
      <c r="U39" s="176"/>
      <c r="V39" s="424" t="str">
        <f>IF(VLOOKUP($B39,Datenblatt!$A$43:$A$66,1,1)=$B39,VLOOKUP($B39,Datenblatt!$A$43:$C$66,3,FALSE)," ")</f>
        <v xml:space="preserve"> </v>
      </c>
      <c r="W39" s="425"/>
      <c r="X39" s="426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412"/>
      <c r="X40" s="41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18  Arbeitstage in diesem Monat</v>
      </c>
      <c r="C41" s="190"/>
      <c r="D41" s="215"/>
      <c r="E41" s="215"/>
      <c r="F41" s="215"/>
      <c r="G41" s="216"/>
      <c r="H41" s="215"/>
      <c r="I41" s="66"/>
      <c r="J41" s="66"/>
      <c r="K41" s="66"/>
      <c r="L41" s="66"/>
      <c r="M41" s="24" t="str">
        <f>"Sollstunden für Mai "&amp;Datenblatt!$F$5&amp;":"</f>
        <v>Sollstunden für Mai 2026:</v>
      </c>
      <c r="N41" s="66"/>
      <c r="O41" s="66"/>
      <c r="P41" s="194"/>
      <c r="R41" s="195"/>
      <c r="S41" s="398">
        <f>SUM(D9:D39)</f>
        <v>144</v>
      </c>
      <c r="T41" s="398"/>
      <c r="U41" s="196"/>
      <c r="V41" s="196"/>
      <c r="W41" s="197"/>
      <c r="X41" s="130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20" t="s">
        <v>239</v>
      </c>
      <c r="J42" s="420"/>
      <c r="K42" s="198"/>
      <c r="M42" s="198" t="str">
        <f>IF(S42&gt;=0,"Zeitguthaben im Monat Mai "&amp;Datenblatt!F5&amp;":   ","Zeitdefizit im Monat Mai "&amp;Datenblatt!F5&amp;":   ")</f>
        <v xml:space="preserve">Zeitguthaben im Monat Mai 2026:   </v>
      </c>
      <c r="N42" s="198"/>
      <c r="O42" s="198"/>
      <c r="R42" s="199"/>
      <c r="S42" s="421" t="s">
        <v>239</v>
      </c>
      <c r="T42" s="421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April "&amp;Datenblatt!F5-1&amp;":   ","  - Zeitdefizit aus April "&amp;Datenblatt!F5&amp;":   ")</f>
        <v xml:space="preserve">  + Zeitguthaben aus April 2025:   </v>
      </c>
      <c r="S43" s="427" t="str">
        <f>Jän!S44</f>
        <v>________ h</v>
      </c>
      <c r="T43" s="427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198" t="str">
        <f>"Übertrag für Juni "&amp;Datenblatt!F5</f>
        <v>Übertrag für Juni 2026</v>
      </c>
      <c r="R44" s="204"/>
      <c r="S44" s="423" t="s">
        <v>239</v>
      </c>
      <c r="T44" s="423"/>
      <c r="U44" s="200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19">
        <f ca="1">TODAY()</f>
        <v>45935</v>
      </c>
      <c r="H45" s="419"/>
      <c r="I45" s="419"/>
      <c r="T45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G45:I45"/>
    <mergeCell ref="I42:J42"/>
    <mergeCell ref="S42:T42"/>
    <mergeCell ref="S43:T43"/>
    <mergeCell ref="S44:T44"/>
    <mergeCell ref="W7:W8"/>
    <mergeCell ref="F7:G7"/>
    <mergeCell ref="S7:S8"/>
    <mergeCell ref="X7:X8"/>
    <mergeCell ref="W40:X40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S41:T41"/>
    <mergeCell ref="L2:P2"/>
    <mergeCell ref="T4:U4"/>
    <mergeCell ref="T5:U5"/>
    <mergeCell ref="H7:M7"/>
    <mergeCell ref="N7:O7"/>
    <mergeCell ref="P7:P8"/>
    <mergeCell ref="Q7:Q8"/>
  </mergeCells>
  <phoneticPr fontId="2" type="noConversion"/>
  <conditionalFormatting sqref="A15 DY15:IV15">
    <cfRule type="cellIs" dxfId="52" priority="1" stopIfTrue="1" operator="equal">
      <formula>MATCH($E15,0)</formula>
    </cfRule>
    <cfRule type="expression" dxfId="51" priority="2" stopIfTrue="1">
      <formula>"WOCHENTAG($B8)=1"</formula>
    </cfRule>
    <cfRule type="expression" dxfId="50" priority="3" stopIfTrue="1">
      <formula>"WOCHENTAG($B8)=7"</formula>
    </cfRule>
  </conditionalFormatting>
  <conditionalFormatting sqref="B9:C39">
    <cfRule type="expression" dxfId="49" priority="8" stopIfTrue="1">
      <formula>($E9=1)</formula>
    </cfRule>
  </conditionalFormatting>
  <conditionalFormatting sqref="V9 B9:T39 V10:X10 V11:V39">
    <cfRule type="expression" dxfId="48" priority="4" stopIfTrue="1">
      <formula>($E9=0)</formula>
    </cfRule>
    <cfRule type="expression" dxfId="47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X48"/>
  <sheetViews>
    <sheetView showGridLines="0" workbookViewId="0">
      <pane ySplit="8" topLeftCell="A9" activePane="bottomLeft" state="frozen"/>
      <selection activeCell="V13" sqref="V13:X13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140625" style="94" customWidth="1"/>
    <col min="4" max="4" width="0.28515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399">
        <f>DATE(Datenblatt!F5,6,1)</f>
        <v>46174</v>
      </c>
      <c r="M2" s="399"/>
      <c r="N2" s="399"/>
      <c r="O2" s="399"/>
      <c r="P2" s="399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"&amp;Datenblatt!$Z$33&amp;";"&amp;"    Di: "&amp;Datenblatt!$Z$34&amp;";"&amp;"    Mi: "&amp;Datenblatt!$Z$35&amp;";"&amp;"    Do: "&amp;Datenblatt!$Z$36&amp;";"&amp;"    Fr: "&amp;Datenblatt!$Z$37&amp;";"&amp;"    Sa: "&amp;Datenblatt!$Z$38&amp;";"&amp;"    So: "&amp;Datenblatt!$Z$39&amp;""&amp;"     -    Wochenarbeitszeit:  "&amp;Datenblatt!$Z$40&amp;" h"</f>
        <v>Arbeitsstunden/Tag:  Mo: 8;    Di: 8;    Mi: 8;    Do: 8;    Fr: 8;    Sa: 0;    So: 0     -    Wochenarbeitszeit:  40 h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01" t="s">
        <v>238</v>
      </c>
      <c r="U4" s="401"/>
      <c r="V4" s="147"/>
      <c r="W4" s="148" t="str">
        <f>"Urlaubsanspruch per 01.06."&amp;Datenblatt!$F$5</f>
        <v>Urlaubsanspruch per 01.06.2026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"&amp;IF(Datenblatt!Z42=1,Datenblatt!D34,IF(Datenblatt!Z42=2,Datenblatt!D35,IF(Datenblatt!Z42=3,Datenblatt!D36,IF(Datenblatt!Z42=4,Datenblatt!D37))))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01" t="s">
        <v>238</v>
      </c>
      <c r="U5" s="401"/>
      <c r="V5" s="147"/>
      <c r="W5" s="149" t="str">
        <f>"Resturlaub per 30.06."&amp;Datenblatt!$F$5</f>
        <v>Resturlaub per 30.06.2026</v>
      </c>
      <c r="X5" s="130" t="s">
        <v>144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66"/>
      <c r="D7" s="66"/>
      <c r="E7" s="66"/>
      <c r="F7" s="408" t="s">
        <v>126</v>
      </c>
      <c r="G7" s="408"/>
      <c r="H7" s="402" t="s">
        <v>127</v>
      </c>
      <c r="I7" s="402"/>
      <c r="J7" s="402"/>
      <c r="K7" s="402"/>
      <c r="L7" s="402"/>
      <c r="M7" s="402"/>
      <c r="N7" s="403" t="s">
        <v>128</v>
      </c>
      <c r="O7" s="403"/>
      <c r="P7" s="404" t="s">
        <v>129</v>
      </c>
      <c r="Q7" s="405" t="s">
        <v>130</v>
      </c>
      <c r="R7" s="150" t="s">
        <v>131</v>
      </c>
      <c r="S7" s="409" t="s">
        <v>132</v>
      </c>
      <c r="T7" s="151" t="s">
        <v>133</v>
      </c>
      <c r="U7" s="152"/>
      <c r="V7" s="350"/>
      <c r="W7" s="406" t="s">
        <v>134</v>
      </c>
      <c r="X7" s="410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04"/>
      <c r="Q8" s="405"/>
      <c r="R8" s="158" t="s">
        <v>138</v>
      </c>
      <c r="S8" s="409"/>
      <c r="T8" s="159" t="s">
        <v>138</v>
      </c>
      <c r="U8" s="160"/>
      <c r="V8" s="351"/>
      <c r="W8" s="407"/>
      <c r="X8" s="411"/>
    </row>
    <row r="9" spans="2:128" s="161" customFormat="1" ht="12.2" customHeight="1">
      <c r="B9" s="162">
        <f>L2</f>
        <v>46174</v>
      </c>
      <c r="C9" s="163">
        <f t="shared" ref="C9:C38" si="0">B9</f>
        <v>46174</v>
      </c>
      <c r="D9" s="164">
        <f>IF(VLOOKUP($B9,Datenblatt!$A$43:$A$65,1,1)=$B9,0,VLOOKUP(WEEKDAY($B9),Datenblatt!$X$33:$Z$39,3,FALSE))</f>
        <v>8</v>
      </c>
      <c r="E9" s="164">
        <f>IF(VLOOKUP($B9,Datenblatt!$A$43:$A$65,1,1)=$B9,0,IF(WEEKDAY($B9)=7,1,IF(WEEKDAY($B9)=1,0,2)))</f>
        <v>2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3" t="str">
        <f>IF(VLOOKUP($B9,Datenblatt!$A$43:$A$66,1,1)=$B9,VLOOKUP($B9,Datenblatt!$A$43:$C$66,3,FALSE)," ")</f>
        <v xml:space="preserve"> </v>
      </c>
      <c r="W9" s="414"/>
      <c r="X9" s="41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8" si="4">B9+1</f>
        <v>46175</v>
      </c>
      <c r="C10" s="163">
        <f t="shared" si="0"/>
        <v>46175</v>
      </c>
      <c r="D10" s="164">
        <f>IF(VLOOKUP($B10,Datenblatt!$A$43:$A$65,1,1)=$B10,0,VLOOKUP(WEEKDAY($B10),Datenblatt!$X$33:$Z$39,3,FALSE))</f>
        <v>8</v>
      </c>
      <c r="E10" s="164">
        <f>IF(VLOOKUP($B10,Datenblatt!$A$43:$A$65,1,1)=$B10,0,IF(WEEKDAY($B10)=7,1,IF(WEEKDAY($B10)=1,0,2)))</f>
        <v>2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 xml:space="preserve"> </v>
      </c>
      <c r="W10" s="379"/>
      <c r="X10" s="380"/>
    </row>
    <row r="11" spans="2:128" ht="12.2" customHeight="1">
      <c r="B11" s="162">
        <f t="shared" si="4"/>
        <v>46176</v>
      </c>
      <c r="C11" s="163">
        <f t="shared" si="0"/>
        <v>46176</v>
      </c>
      <c r="D11" s="164">
        <f>IF(VLOOKUP($B11,Datenblatt!$A$43:$A$65,1,1)=$B11,0,VLOOKUP(WEEKDAY($B11),Datenblatt!$X$33:$Z$39,3,FALSE))</f>
        <v>8</v>
      </c>
      <c r="E11" s="164">
        <f>IF(VLOOKUP($B11,Datenblatt!$A$43:$A$65,1,1)=$B11,0,IF(WEEKDAY($B11)=7,1,IF(WEEKDAY($B11)=1,0,2)))</f>
        <v>2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416" t="str">
        <f>IF(VLOOKUP($B11,Datenblatt!$A$43:$A$66,1,1)=$B11,VLOOKUP($B11,Datenblatt!$A$43:$C$66,3,FALSE)," ")</f>
        <v xml:space="preserve"> </v>
      </c>
      <c r="W11" s="417"/>
      <c r="X11" s="418"/>
      <c r="AA11" s="179"/>
    </row>
    <row r="12" spans="2:128" ht="12.2" customHeight="1">
      <c r="B12" s="162">
        <f t="shared" si="4"/>
        <v>46177</v>
      </c>
      <c r="C12" s="163">
        <f t="shared" si="0"/>
        <v>46177</v>
      </c>
      <c r="D12" s="164">
        <f>IF(VLOOKUP($B12,Datenblatt!$A$43:$A$65,1,1)=$B12,0,VLOOKUP(WEEKDAY($B12),Datenblatt!$X$33:$Z$39,3,FALSE))</f>
        <v>0</v>
      </c>
      <c r="E12" s="164">
        <f>IF(VLOOKUP($B12,Datenblatt!$A$43:$A$65,1,1)=$B12,0,IF(WEEKDAY($B12)=7,1,IF(WEEKDAY($B12)=1,0,2)))</f>
        <v>0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416" t="str">
        <f>IF(VLOOKUP($B12,Datenblatt!$A$43:$A$66,1,1)=$B12,VLOOKUP($B12,Datenblatt!$A$43:$C$66,3,FALSE)," ")</f>
        <v>Fronleichnam</v>
      </c>
      <c r="W12" s="417"/>
      <c r="X12" s="418"/>
      <c r="AA12" s="179"/>
    </row>
    <row r="13" spans="2:128" s="161" customFormat="1" ht="12.2" customHeight="1">
      <c r="B13" s="162">
        <f t="shared" si="4"/>
        <v>46178</v>
      </c>
      <c r="C13" s="163">
        <f t="shared" si="0"/>
        <v>46178</v>
      </c>
      <c r="D13" s="164">
        <f>IF(VLOOKUP($B13,Datenblatt!$A$43:$A$65,1,1)=$B13,0,VLOOKUP(WEEKDAY($B13),Datenblatt!$X$33:$Z$39,3,FALSE))</f>
        <v>8</v>
      </c>
      <c r="E13" s="164">
        <f>IF(VLOOKUP($B13,Datenblatt!$A$43:$A$65,1,1)=$B13,0,IF(WEEKDAY($B13)=7,1,IF(WEEKDAY($B13)=1,0,2)))</f>
        <v>2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416" t="str">
        <f>IF(VLOOKUP($B13,Datenblatt!$A$43:$A$66,1,1)=$B13,VLOOKUP($B13,Datenblatt!$A$43:$C$66,3,FALSE)," ")</f>
        <v xml:space="preserve"> </v>
      </c>
      <c r="W13" s="417"/>
      <c r="X13" s="418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46179</v>
      </c>
      <c r="C14" s="163">
        <f t="shared" si="0"/>
        <v>46179</v>
      </c>
      <c r="D14" s="164">
        <f>IF(VLOOKUP($B14,Datenblatt!$A$43:$A$65,1,1)=$B14,0,VLOOKUP(WEEKDAY($B14),Datenblatt!$X$33:$Z$39,3,FALSE))</f>
        <v>0</v>
      </c>
      <c r="E14" s="164">
        <f>IF(VLOOKUP($B14,Datenblatt!$A$43:$A$65,1,1)=$B14,0,IF(WEEKDAY($B14)=7,1,IF(WEEKDAY($B14)=1,0,2)))</f>
        <v>1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416" t="str">
        <f>IF(VLOOKUP($B14,Datenblatt!$A$43:$A$66,1,1)=$B14,VLOOKUP($B14,Datenblatt!$A$43:$C$66,3,FALSE)," ")</f>
        <v xml:space="preserve"> </v>
      </c>
      <c r="W14" s="417"/>
      <c r="X14" s="418"/>
      <c r="AA14" s="179"/>
    </row>
    <row r="15" spans="2:128" ht="12.2" customHeight="1">
      <c r="B15" s="162">
        <f t="shared" si="4"/>
        <v>46180</v>
      </c>
      <c r="C15" s="163">
        <f t="shared" si="0"/>
        <v>46180</v>
      </c>
      <c r="D15" s="164">
        <f>IF(VLOOKUP($B15,Datenblatt!$A$43:$A$65,1,1)=$B15,0,VLOOKUP(WEEKDAY($B15),Datenblatt!$X$33:$Z$39,3,FALSE))</f>
        <v>0</v>
      </c>
      <c r="E15" s="164">
        <f>IF(VLOOKUP($B15,Datenblatt!$A$43:$A$65,1,1)=$B15,0,IF(WEEKDAY($B15)=7,1,IF(WEEKDAY($B15)=1,0,2)))</f>
        <v>0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416" t="str">
        <f>IF(VLOOKUP($B15,Datenblatt!$A$43:$A$66,1,1)=$B15,VLOOKUP($B15,Datenblatt!$A$43:$C$66,3,FALSE)," ")</f>
        <v xml:space="preserve"> </v>
      </c>
      <c r="W15" s="417"/>
      <c r="X15" s="418"/>
      <c r="AA15" s="179"/>
    </row>
    <row r="16" spans="2:128" ht="12.2" customHeight="1">
      <c r="B16" s="162">
        <f t="shared" si="4"/>
        <v>46181</v>
      </c>
      <c r="C16" s="163">
        <f t="shared" si="0"/>
        <v>46181</v>
      </c>
      <c r="D16" s="164">
        <f>IF(VLOOKUP($B16,Datenblatt!$A$43:$A$65,1,1)=$B16,0,VLOOKUP(WEEKDAY($B16),Datenblatt!$X$33:$Z$39,3,FALSE))</f>
        <v>8</v>
      </c>
      <c r="E16" s="164">
        <f>IF(VLOOKUP($B16,Datenblatt!$A$43:$A$65,1,1)=$B16,0,IF(WEEKDAY($B16)=7,1,IF(WEEKDAY($B16)=1,0,2)))</f>
        <v>2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416" t="str">
        <f>IF(VLOOKUP($B16,Datenblatt!$A$43:$A$66,1,1)=$B16,VLOOKUP($B16,Datenblatt!$A$43:$C$66,3,FALSE)," ")</f>
        <v xml:space="preserve"> </v>
      </c>
      <c r="W16" s="417"/>
      <c r="X16" s="418"/>
      <c r="AA16" s="179"/>
    </row>
    <row r="17" spans="2:128" ht="12.2" customHeight="1">
      <c r="B17" s="162">
        <f t="shared" si="4"/>
        <v>46182</v>
      </c>
      <c r="C17" s="163">
        <f t="shared" si="0"/>
        <v>46182</v>
      </c>
      <c r="D17" s="164">
        <f>IF(VLOOKUP($B17,Datenblatt!$A$43:$A$65,1,1)=$B17,0,VLOOKUP(WEEKDAY($B17),Datenblatt!$X$33:$Z$39,3,FALSE))</f>
        <v>8</v>
      </c>
      <c r="E17" s="164">
        <f>IF(VLOOKUP($B17,Datenblatt!$A$43:$A$65,1,1)=$B17,0,IF(WEEKDAY($B17)=7,1,IF(WEEKDAY($B17)=1,0,2)))</f>
        <v>2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416" t="str">
        <f>IF(VLOOKUP($B17,Datenblatt!$A$43:$A$66,1,1)=$B17,VLOOKUP($B17,Datenblatt!$A$43:$C$66,3,FALSE)," ")</f>
        <v xml:space="preserve"> </v>
      </c>
      <c r="W17" s="417"/>
      <c r="X17" s="418"/>
      <c r="AA17" s="179"/>
    </row>
    <row r="18" spans="2:128" ht="12.2" customHeight="1">
      <c r="B18" s="162">
        <f t="shared" si="4"/>
        <v>46183</v>
      </c>
      <c r="C18" s="163">
        <f t="shared" si="0"/>
        <v>46183</v>
      </c>
      <c r="D18" s="164">
        <f>IF(VLOOKUP($B18,Datenblatt!$A$43:$A$65,1,1)=$B18,0,VLOOKUP(WEEKDAY($B18),Datenblatt!$X$33:$Z$39,3,FALSE))</f>
        <v>8</v>
      </c>
      <c r="E18" s="164">
        <f>IF(VLOOKUP($B18,Datenblatt!$A$43:$A$65,1,1)=$B18,0,IF(WEEKDAY($B18)=7,1,IF(WEEKDAY($B18)=1,0,2)))</f>
        <v>2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416" t="str">
        <f>IF(VLOOKUP($B18,Datenblatt!$A$43:$A$66,1,1)=$B18,VLOOKUP($B18,Datenblatt!$A$43:$C$66,3,FALSE)," ")</f>
        <v xml:space="preserve"> </v>
      </c>
      <c r="W18" s="417"/>
      <c r="X18" s="418"/>
      <c r="AA18" s="179"/>
    </row>
    <row r="19" spans="2:128" ht="12.2" customHeight="1">
      <c r="B19" s="162">
        <f t="shared" si="4"/>
        <v>46184</v>
      </c>
      <c r="C19" s="163">
        <f t="shared" si="0"/>
        <v>46184</v>
      </c>
      <c r="D19" s="164">
        <f>IF(VLOOKUP($B19,Datenblatt!$A$43:$A$65,1,1)=$B19,0,VLOOKUP(WEEKDAY($B19),Datenblatt!$X$33:$Z$39,3,FALSE))</f>
        <v>8</v>
      </c>
      <c r="E19" s="164">
        <f>IF(VLOOKUP($B19,Datenblatt!$A$43:$A$65,1,1)=$B19,0,IF(WEEKDAY($B19)=7,1,IF(WEEKDAY($B19)=1,0,2)))</f>
        <v>2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416" t="str">
        <f>IF(VLOOKUP($B19,Datenblatt!$A$43:$A$66,1,1)=$B19,VLOOKUP($B19,Datenblatt!$A$43:$C$66,3,FALSE)," ")</f>
        <v xml:space="preserve"> </v>
      </c>
      <c r="W19" s="417"/>
      <c r="X19" s="418"/>
      <c r="AA19" s="179"/>
    </row>
    <row r="20" spans="2:128" ht="12.2" customHeight="1">
      <c r="B20" s="162">
        <f t="shared" si="4"/>
        <v>46185</v>
      </c>
      <c r="C20" s="163">
        <f t="shared" si="0"/>
        <v>46185</v>
      </c>
      <c r="D20" s="164">
        <f>IF(VLOOKUP($B20,Datenblatt!$A$43:$A$65,1,1)=$B20,0,VLOOKUP(WEEKDAY($B20),Datenblatt!$X$33:$Z$39,3,FALSE))</f>
        <v>8</v>
      </c>
      <c r="E20" s="164">
        <f>IF(VLOOKUP($B20,Datenblatt!$A$43:$A$65,1,1)=$B20,0,IF(WEEKDAY($B20)=7,1,IF(WEEKDAY($B20)=1,0,2)))</f>
        <v>2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416" t="str">
        <f>IF(VLOOKUP($B20,Datenblatt!$A$43:$A$66,1,1)=$B20,VLOOKUP($B20,Datenblatt!$A$43:$C$66,3,FALSE)," ")</f>
        <v xml:space="preserve"> </v>
      </c>
      <c r="W20" s="417"/>
      <c r="X20" s="418"/>
      <c r="AA20" s="179"/>
    </row>
    <row r="21" spans="2:128" ht="12.2" customHeight="1">
      <c r="B21" s="162">
        <f t="shared" si="4"/>
        <v>46186</v>
      </c>
      <c r="C21" s="163">
        <f t="shared" si="0"/>
        <v>46186</v>
      </c>
      <c r="D21" s="164">
        <f>IF(VLOOKUP($B21,Datenblatt!$A$43:$A$65,1,1)=$B21,0,VLOOKUP(WEEKDAY($B21),Datenblatt!$X$33:$Z$39,3,FALSE))</f>
        <v>0</v>
      </c>
      <c r="E21" s="164">
        <f>IF(VLOOKUP($B21,Datenblatt!$A$43:$A$65,1,1)=$B21,0,IF(WEEKDAY($B21)=7,1,IF(WEEKDAY($B21)=1,0,2)))</f>
        <v>1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416" t="str">
        <f>IF(VLOOKUP($B21,Datenblatt!$A$43:$A$66,1,1)=$B21,VLOOKUP($B21,Datenblatt!$A$43:$C$66,3,FALSE)," ")</f>
        <v xml:space="preserve"> </v>
      </c>
      <c r="W21" s="417"/>
      <c r="X21" s="418"/>
      <c r="AA21" s="179"/>
    </row>
    <row r="22" spans="2:128" s="180" customFormat="1" ht="12.2" customHeight="1">
      <c r="B22" s="162">
        <f t="shared" si="4"/>
        <v>46187</v>
      </c>
      <c r="C22" s="163">
        <f t="shared" si="0"/>
        <v>46187</v>
      </c>
      <c r="D22" s="164">
        <f>IF(VLOOKUP($B22,Datenblatt!$A$43:$A$65,1,1)=$B22,0,VLOOKUP(WEEKDAY($B22),Datenblatt!$X$33:$Z$39,3,FALSE))</f>
        <v>0</v>
      </c>
      <c r="E22" s="164">
        <f>IF(VLOOKUP($B22,Datenblatt!$A$43:$A$65,1,1)=$B22,0,IF(WEEKDAY($B22)=7,1,IF(WEEKDAY($B22)=1,0,2)))</f>
        <v>0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416" t="str">
        <f>IF(VLOOKUP($B22,Datenblatt!$A$43:$A$66,1,1)=$B22,VLOOKUP($B22,Datenblatt!$A$43:$C$66,3,FALSE)," ")</f>
        <v xml:space="preserve"> </v>
      </c>
      <c r="W22" s="417"/>
      <c r="X22" s="418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46188</v>
      </c>
      <c r="C23" s="163">
        <f t="shared" si="0"/>
        <v>46188</v>
      </c>
      <c r="D23" s="164">
        <f>IF(VLOOKUP($B23,Datenblatt!$A$43:$A$65,1,1)=$B23,0,VLOOKUP(WEEKDAY($B23),Datenblatt!$X$33:$Z$39,3,FALSE))</f>
        <v>8</v>
      </c>
      <c r="E23" s="164">
        <f>IF(VLOOKUP($B23,Datenblatt!$A$43:$A$65,1,1)=$B23,0,IF(WEEKDAY($B23)=7,1,IF(WEEKDAY($B23)=1,0,2)))</f>
        <v>2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416" t="str">
        <f>IF(VLOOKUP($B23,Datenblatt!$A$43:$A$66,1,1)=$B23,VLOOKUP($B23,Datenblatt!$A$43:$C$66,3,FALSE)," ")</f>
        <v xml:space="preserve"> </v>
      </c>
      <c r="W23" s="417"/>
      <c r="X23" s="418"/>
      <c r="AA23" s="179"/>
    </row>
    <row r="24" spans="2:128" ht="12.2" customHeight="1">
      <c r="B24" s="162">
        <f t="shared" si="4"/>
        <v>46189</v>
      </c>
      <c r="C24" s="163">
        <f t="shared" si="0"/>
        <v>46189</v>
      </c>
      <c r="D24" s="164">
        <f>IF(VLOOKUP($B24,Datenblatt!$A$43:$A$65,1,1)=$B24,0,VLOOKUP(WEEKDAY($B24),Datenblatt!$X$33:$Z$39,3,FALSE))</f>
        <v>8</v>
      </c>
      <c r="E24" s="164">
        <f>IF(VLOOKUP($B24,Datenblatt!$A$43:$A$65,1,1)=$B24,0,IF(WEEKDAY($B24)=7,1,IF(WEEKDAY($B24)=1,0,2)))</f>
        <v>2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416" t="str">
        <f>IF(VLOOKUP($B24,Datenblatt!$A$43:$A$66,1,1)=$B24,VLOOKUP($B24,Datenblatt!$A$43:$C$66,3,FALSE)," ")</f>
        <v xml:space="preserve"> </v>
      </c>
      <c r="W24" s="417"/>
      <c r="X24" s="418"/>
      <c r="AA24" s="179"/>
    </row>
    <row r="25" spans="2:128" ht="12.2" customHeight="1">
      <c r="B25" s="162">
        <f t="shared" si="4"/>
        <v>46190</v>
      </c>
      <c r="C25" s="163">
        <f t="shared" si="0"/>
        <v>46190</v>
      </c>
      <c r="D25" s="164">
        <f>IF(VLOOKUP($B25,Datenblatt!$A$43:$A$65,1,1)=$B25,0,VLOOKUP(WEEKDAY($B25),Datenblatt!$X$33:$Z$39,3,FALSE))</f>
        <v>8</v>
      </c>
      <c r="E25" s="164">
        <f>IF(VLOOKUP($B25,Datenblatt!$A$43:$A$65,1,1)=$B25,0,IF(WEEKDAY($B25)=7,1,IF(WEEKDAY($B25)=1,0,2)))</f>
        <v>2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416" t="str">
        <f>IF(VLOOKUP($B25,Datenblatt!$A$43:$A$66,1,1)=$B25,VLOOKUP($B25,Datenblatt!$A$43:$C$66,3,FALSE)," ")</f>
        <v xml:space="preserve"> </v>
      </c>
      <c r="W25" s="417"/>
      <c r="X25" s="418"/>
      <c r="AA25" s="179"/>
    </row>
    <row r="26" spans="2:128" ht="12.2" customHeight="1">
      <c r="B26" s="162">
        <f t="shared" si="4"/>
        <v>46191</v>
      </c>
      <c r="C26" s="163">
        <f t="shared" si="0"/>
        <v>46191</v>
      </c>
      <c r="D26" s="164">
        <f>IF(VLOOKUP($B26,Datenblatt!$A$43:$A$65,1,1)=$B26,0,VLOOKUP(WEEKDAY($B26),Datenblatt!$X$33:$Z$39,3,FALSE))</f>
        <v>8</v>
      </c>
      <c r="E26" s="164">
        <f>IF(VLOOKUP($B26,Datenblatt!$A$43:$A$65,1,1)=$B26,0,IF(WEEKDAY($B26)=7,1,IF(WEEKDAY($B26)=1,0,2)))</f>
        <v>2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416" t="str">
        <f>IF(VLOOKUP($B26,Datenblatt!$A$43:$A$66,1,1)=$B26,VLOOKUP($B26,Datenblatt!$A$43:$C$66,3,FALSE)," ")</f>
        <v xml:space="preserve"> </v>
      </c>
      <c r="W26" s="417"/>
      <c r="X26" s="418"/>
      <c r="AA26" s="179"/>
    </row>
    <row r="27" spans="2:128" ht="12.2" customHeight="1">
      <c r="B27" s="162">
        <f t="shared" si="4"/>
        <v>46192</v>
      </c>
      <c r="C27" s="163">
        <f t="shared" si="0"/>
        <v>46192</v>
      </c>
      <c r="D27" s="164">
        <f>IF(VLOOKUP($B27,Datenblatt!$A$43:$A$65,1,1)=$B27,0,VLOOKUP(WEEKDAY($B27),Datenblatt!$X$33:$Z$39,3,FALSE))</f>
        <v>8</v>
      </c>
      <c r="E27" s="164">
        <f>IF(VLOOKUP($B27,Datenblatt!$A$43:$A$65,1,1)=$B27,0,IF(WEEKDAY($B27)=7,1,IF(WEEKDAY($B27)=1,0,2)))</f>
        <v>2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416" t="str">
        <f>IF(VLOOKUP($B27,Datenblatt!$A$43:$A$66,1,1)=$B27,VLOOKUP($B27,Datenblatt!$A$43:$C$66,3,FALSE)," ")</f>
        <v xml:space="preserve"> </v>
      </c>
      <c r="W27" s="417"/>
      <c r="X27" s="418"/>
      <c r="AA27" s="179"/>
    </row>
    <row r="28" spans="2:128" ht="12.2" customHeight="1">
      <c r="B28" s="162">
        <f t="shared" si="4"/>
        <v>46193</v>
      </c>
      <c r="C28" s="163">
        <f t="shared" si="0"/>
        <v>46193</v>
      </c>
      <c r="D28" s="164">
        <f>IF(VLOOKUP($B28,Datenblatt!$A$43:$A$65,1,1)=$B28,0,VLOOKUP(WEEKDAY($B28),Datenblatt!$X$33:$Z$39,3,FALSE))</f>
        <v>0</v>
      </c>
      <c r="E28" s="164">
        <f>IF(VLOOKUP($B28,Datenblatt!$A$43:$A$65,1,1)=$B28,0,IF(WEEKDAY($B28)=7,1,IF(WEEKDAY($B28)=1,0,2)))</f>
        <v>1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416" t="str">
        <f>IF(VLOOKUP($B28,Datenblatt!$A$43:$A$66,1,1)=$B28,VLOOKUP($B28,Datenblatt!$A$43:$C$66,3,FALSE)," ")</f>
        <v xml:space="preserve"> </v>
      </c>
      <c r="W28" s="417"/>
      <c r="X28" s="418"/>
      <c r="AA28" s="179"/>
    </row>
    <row r="29" spans="2:128" ht="12.2" customHeight="1">
      <c r="B29" s="162">
        <f t="shared" si="4"/>
        <v>46194</v>
      </c>
      <c r="C29" s="163">
        <f t="shared" si="0"/>
        <v>46194</v>
      </c>
      <c r="D29" s="164">
        <f>IF(VLOOKUP($B29,Datenblatt!$A$43:$A$65,1,1)=$B29,0,VLOOKUP(WEEKDAY($B29),Datenblatt!$X$33:$Z$39,3,FALSE))</f>
        <v>0</v>
      </c>
      <c r="E29" s="164">
        <f>IF(VLOOKUP($B29,Datenblatt!$A$43:$A$65,1,1)=$B29,0,IF(WEEKDAY($B29)=7,1,IF(WEEKDAY($B29)=1,0,2)))</f>
        <v>0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416" t="str">
        <f>IF(VLOOKUP($B29,Datenblatt!$A$43:$A$66,1,1)=$B29,VLOOKUP($B29,Datenblatt!$A$43:$C$66,3,FALSE)," ")</f>
        <v xml:space="preserve"> </v>
      </c>
      <c r="W29" s="417"/>
      <c r="X29" s="418"/>
      <c r="AA29" s="179"/>
    </row>
    <row r="30" spans="2:128" ht="12.2" customHeight="1">
      <c r="B30" s="162">
        <f t="shared" si="4"/>
        <v>46195</v>
      </c>
      <c r="C30" s="163">
        <f t="shared" si="0"/>
        <v>46195</v>
      </c>
      <c r="D30" s="164">
        <f>IF(VLOOKUP($B30,Datenblatt!$A$43:$A$65,1,1)=$B30,0,VLOOKUP(WEEKDAY($B30),Datenblatt!$X$33:$Z$39,3,FALSE))</f>
        <v>8</v>
      </c>
      <c r="E30" s="164">
        <f>IF(VLOOKUP($B30,Datenblatt!$A$43:$A$65,1,1)=$B30,0,IF(WEEKDAY($B30)=7,1,IF(WEEKDAY($B30)=1,0,2)))</f>
        <v>2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416" t="str">
        <f>IF(VLOOKUP($B30,Datenblatt!$A$43:$A$66,1,1)=$B30,VLOOKUP($B30,Datenblatt!$A$43:$C$66,3,FALSE)," ")</f>
        <v xml:space="preserve"> </v>
      </c>
      <c r="W30" s="417"/>
      <c r="X30" s="418"/>
      <c r="AA30" s="179"/>
    </row>
    <row r="31" spans="2:128" ht="12.2" customHeight="1">
      <c r="B31" s="162">
        <f t="shared" si="4"/>
        <v>46196</v>
      </c>
      <c r="C31" s="163">
        <f t="shared" si="0"/>
        <v>46196</v>
      </c>
      <c r="D31" s="164">
        <f>IF(VLOOKUP($B31,Datenblatt!$A$43:$A$65,1,1)=$B31,0,VLOOKUP(WEEKDAY($B31),Datenblatt!$X$33:$Z$39,3,FALSE))</f>
        <v>8</v>
      </c>
      <c r="E31" s="164">
        <f>IF(VLOOKUP($B31,Datenblatt!$A$43:$A$65,1,1)=$B31,0,IF(WEEKDAY($B31)=7,1,IF(WEEKDAY($B31)=1,0,2)))</f>
        <v>2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416" t="str">
        <f>IF(VLOOKUP($B31,Datenblatt!$A$43:$A$66,1,1)=$B31,VLOOKUP($B31,Datenblatt!$A$43:$C$66,3,FALSE)," ")</f>
        <v xml:space="preserve"> </v>
      </c>
      <c r="W31" s="417"/>
      <c r="X31" s="418"/>
      <c r="AA31" s="179"/>
    </row>
    <row r="32" spans="2:128" ht="12.2" customHeight="1">
      <c r="B32" s="162">
        <f t="shared" si="4"/>
        <v>46197</v>
      </c>
      <c r="C32" s="163">
        <f t="shared" si="0"/>
        <v>46197</v>
      </c>
      <c r="D32" s="164">
        <f>IF(VLOOKUP($B32,Datenblatt!$A$43:$A$65,1,1)=$B32,0,VLOOKUP(WEEKDAY($B32),Datenblatt!$X$33:$Z$39,3,FALSE))</f>
        <v>8</v>
      </c>
      <c r="E32" s="164">
        <f>IF(VLOOKUP($B32,Datenblatt!$A$43:$A$65,1,1)=$B32,0,IF(WEEKDAY($B32)=7,1,IF(WEEKDAY($B32)=1,0,2)))</f>
        <v>2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416" t="str">
        <f>IF(VLOOKUP($B32,Datenblatt!$A$43:$A$66,1,1)=$B32,VLOOKUP($B32,Datenblatt!$A$43:$C$66,3,FALSE)," ")</f>
        <v xml:space="preserve"> </v>
      </c>
      <c r="W32" s="417"/>
      <c r="X32" s="418"/>
      <c r="AA32" s="179"/>
    </row>
    <row r="33" spans="2:128" ht="12.2" customHeight="1">
      <c r="B33" s="162">
        <f t="shared" si="4"/>
        <v>46198</v>
      </c>
      <c r="C33" s="163">
        <f t="shared" si="0"/>
        <v>46198</v>
      </c>
      <c r="D33" s="164">
        <f>IF(VLOOKUP($B33,Datenblatt!$A$43:$A$65,1,1)=$B33,0,VLOOKUP(WEEKDAY($B33),Datenblatt!$X$33:$Z$39,3,FALSE))</f>
        <v>8</v>
      </c>
      <c r="E33" s="164">
        <f>IF(VLOOKUP($B33,Datenblatt!$A$43:$A$65,1,1)=$B33,0,IF(WEEKDAY($B33)=7,1,IF(WEEKDAY($B33)=1,0,2)))</f>
        <v>2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416" t="str">
        <f>IF(VLOOKUP($B33,Datenblatt!$A$43:$A$66,1,1)=$B33,VLOOKUP($B33,Datenblatt!$A$43:$C$66,3,FALSE)," ")</f>
        <v xml:space="preserve"> </v>
      </c>
      <c r="W33" s="417"/>
      <c r="X33" s="418"/>
      <c r="AA33" s="179"/>
    </row>
    <row r="34" spans="2:128" ht="12.2" customHeight="1">
      <c r="B34" s="162">
        <f t="shared" si="4"/>
        <v>46199</v>
      </c>
      <c r="C34" s="163">
        <f t="shared" si="0"/>
        <v>46199</v>
      </c>
      <c r="D34" s="164">
        <f>IF(VLOOKUP($B34,Datenblatt!$A$43:$A$65,1,1)=$B34,0,VLOOKUP(WEEKDAY($B34),Datenblatt!$X$33:$Z$39,3,FALSE))</f>
        <v>8</v>
      </c>
      <c r="E34" s="164">
        <f>IF(VLOOKUP($B34,Datenblatt!$A$43:$A$65,1,1)=$B34,0,IF(WEEKDAY($B34)=7,1,IF(WEEKDAY($B34)=1,0,2)))</f>
        <v>2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416" t="str">
        <f>IF(VLOOKUP($B34,Datenblatt!$A$43:$A$66,1,1)=$B34,VLOOKUP($B34,Datenblatt!$A$43:$C$66,3,FALSE)," ")</f>
        <v xml:space="preserve"> </v>
      </c>
      <c r="W34" s="417"/>
      <c r="X34" s="418"/>
      <c r="AA34" s="179"/>
    </row>
    <row r="35" spans="2:128" ht="12.2" customHeight="1">
      <c r="B35" s="162">
        <f t="shared" si="4"/>
        <v>46200</v>
      </c>
      <c r="C35" s="163">
        <f t="shared" si="0"/>
        <v>46200</v>
      </c>
      <c r="D35" s="164">
        <f>IF(VLOOKUP($B35,Datenblatt!$A$43:$A$65,1,1)=$B35,0,VLOOKUP(WEEKDAY($B35),Datenblatt!$X$33:$Z$39,3,FALSE))</f>
        <v>0</v>
      </c>
      <c r="E35" s="164">
        <f>IF(VLOOKUP($B35,Datenblatt!$A$43:$A$65,1,1)=$B35,0,IF(WEEKDAY($B35)=7,1,IF(WEEKDAY($B35)=1,0,2)))</f>
        <v>1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416" t="str">
        <f>IF(VLOOKUP($B35,Datenblatt!$A$43:$A$66,1,1)=$B35,VLOOKUP($B35,Datenblatt!$A$43:$C$66,3,FALSE)," ")</f>
        <v xml:space="preserve"> </v>
      </c>
      <c r="W35" s="417"/>
      <c r="X35" s="418"/>
      <c r="AA35" s="179"/>
    </row>
    <row r="36" spans="2:128" ht="12.2" customHeight="1">
      <c r="B36" s="162">
        <f t="shared" si="4"/>
        <v>46201</v>
      </c>
      <c r="C36" s="163">
        <f t="shared" si="0"/>
        <v>46201</v>
      </c>
      <c r="D36" s="164">
        <f>IF(VLOOKUP($B36,Datenblatt!$A$43:$A$65,1,1)=$B36,0,VLOOKUP(WEEKDAY($B36),Datenblatt!$X$33:$Z$39,3,FALSE))</f>
        <v>0</v>
      </c>
      <c r="E36" s="164">
        <f>IF(VLOOKUP($B36,Datenblatt!$A$43:$A$65,1,1)=$B36,0,IF(WEEKDAY($B36)=7,1,IF(WEEKDAY($B36)=1,0,2)))</f>
        <v>0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416" t="str">
        <f>IF(VLOOKUP($B36,Datenblatt!$A$43:$A$66,1,1)=$B36,VLOOKUP($B36,Datenblatt!$A$43:$C$66,3,FALSE)," ")</f>
        <v xml:space="preserve"> </v>
      </c>
      <c r="W36" s="417"/>
      <c r="X36" s="418"/>
      <c r="AA36" s="179"/>
    </row>
    <row r="37" spans="2:128" ht="12.2" customHeight="1">
      <c r="B37" s="162">
        <f t="shared" si="4"/>
        <v>46202</v>
      </c>
      <c r="C37" s="163">
        <f t="shared" si="0"/>
        <v>46202</v>
      </c>
      <c r="D37" s="164">
        <f>IF(VLOOKUP($B37,Datenblatt!$A$43:$A$65,1,1)=$B37,0,VLOOKUP(WEEKDAY($B37),Datenblatt!$X$33:$Z$39,3,FALSE))</f>
        <v>8</v>
      </c>
      <c r="E37" s="164">
        <f>IF(VLOOKUP($B37,Datenblatt!$A$43:$A$65,1,1)=$B37,0,IF(WEEKDAY($B37)=7,1,IF(WEEKDAY($B37)=1,0,2)))</f>
        <v>2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416" t="str">
        <f>IF(VLOOKUP($B37,Datenblatt!$A$43:$A$66,1,1)=$B37,VLOOKUP($B37,Datenblatt!$A$43:$C$66,3,FALSE)," ")</f>
        <v xml:space="preserve"> </v>
      </c>
      <c r="W37" s="417"/>
      <c r="X37" s="418"/>
      <c r="AA37" s="179"/>
    </row>
    <row r="38" spans="2:128" ht="12.2" customHeight="1">
      <c r="B38" s="162">
        <f t="shared" si="4"/>
        <v>46203</v>
      </c>
      <c r="C38" s="163">
        <f t="shared" si="0"/>
        <v>46203</v>
      </c>
      <c r="D38" s="164">
        <f>IF(VLOOKUP($B38,Datenblatt!$A$43:$A$65,1,1)=$B38,0,VLOOKUP(WEEKDAY($B38),Datenblatt!$X$33:$Z$39,3,FALSE))</f>
        <v>8</v>
      </c>
      <c r="E38" s="164">
        <f>IF(VLOOKUP($B38,Datenblatt!$A$43:$A$65,1,1)=$B38,0,IF(WEEKDAY($B38)=7,1,IF(WEEKDAY($B38)=1,0,2)))</f>
        <v>2</v>
      </c>
      <c r="F38" s="165"/>
      <c r="G38" s="166"/>
      <c r="H38" s="167"/>
      <c r="I38" s="168"/>
      <c r="J38" s="167"/>
      <c r="K38" s="168"/>
      <c r="L38" s="167"/>
      <c r="M38" s="169"/>
      <c r="N38" s="170"/>
      <c r="O38" s="170"/>
      <c r="P38" s="171"/>
      <c r="Q38" s="172"/>
      <c r="R38" s="173" t="str">
        <f t="shared" si="1"/>
        <v/>
      </c>
      <c r="S38" s="174" t="str">
        <f t="shared" si="2"/>
        <v/>
      </c>
      <c r="T38" s="175" t="str">
        <f t="shared" si="3"/>
        <v/>
      </c>
      <c r="U38" s="176"/>
      <c r="V38" s="416" t="str">
        <f>IF(VLOOKUP($B38,Datenblatt!$A$43:$A$66,1,1)=$B38,VLOOKUP($B38,Datenblatt!$A$43:$C$66,3,FALSE)," ")</f>
        <v xml:space="preserve"> </v>
      </c>
      <c r="W38" s="417"/>
      <c r="X38" s="418"/>
      <c r="AA38" s="179"/>
    </row>
    <row r="39" spans="2:128" ht="12.2" customHeight="1" thickBot="1">
      <c r="B39" s="162"/>
      <c r="C39" s="163"/>
      <c r="D39" s="164"/>
      <c r="E39" s="164"/>
      <c r="F39" s="206"/>
      <c r="G39" s="207"/>
      <c r="H39" s="208"/>
      <c r="I39" s="209"/>
      <c r="J39" s="208"/>
      <c r="K39" s="209"/>
      <c r="L39" s="210"/>
      <c r="M39" s="211"/>
      <c r="N39" s="212"/>
      <c r="O39" s="212"/>
      <c r="P39" s="213"/>
      <c r="Q39" s="214"/>
      <c r="R39" s="177" t="str">
        <f t="shared" si="1"/>
        <v/>
      </c>
      <c r="S39" s="178" t="str">
        <f t="shared" si="2"/>
        <v/>
      </c>
      <c r="T39" s="175" t="str">
        <f t="shared" si="3"/>
        <v/>
      </c>
      <c r="U39" s="176"/>
      <c r="V39" s="424"/>
      <c r="W39" s="425"/>
      <c r="X39" s="426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412"/>
      <c r="X40" s="41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21  Arbeitstage in diesem Monat</v>
      </c>
      <c r="C41" s="190"/>
      <c r="D41" s="215"/>
      <c r="E41" s="215"/>
      <c r="F41" s="215"/>
      <c r="G41" s="216"/>
      <c r="H41" s="215"/>
      <c r="I41" s="66"/>
      <c r="J41" s="66"/>
      <c r="K41" s="66"/>
      <c r="L41" s="66"/>
      <c r="M41" s="24" t="str">
        <f>"Sollstunden für Juni "&amp;Datenblatt!$F$5&amp;":"</f>
        <v>Sollstunden für Juni 2026:</v>
      </c>
      <c r="N41" s="66"/>
      <c r="O41" s="66"/>
      <c r="P41" s="194"/>
      <c r="R41" s="195"/>
      <c r="S41" s="398">
        <f>SUM(D9:D39)</f>
        <v>168</v>
      </c>
      <c r="T41" s="398"/>
      <c r="U41" s="196"/>
      <c r="V41" s="196"/>
      <c r="W41" s="197"/>
      <c r="X41" s="130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20" t="s">
        <v>239</v>
      </c>
      <c r="J42" s="420"/>
      <c r="K42" s="198"/>
      <c r="M42" s="198" t="str">
        <f>IF(S42&gt;=0,"Zeitguthaben im Monat Juni "&amp;Datenblatt!F5&amp;":   ","Zeitdefizit im Monat Juni "&amp;Datenblatt!F5&amp;":   ")</f>
        <v xml:space="preserve">Zeitguthaben im Monat Juni 2026:   </v>
      </c>
      <c r="N42" s="198"/>
      <c r="O42" s="198"/>
      <c r="R42" s="199"/>
      <c r="S42" s="421" t="s">
        <v>239</v>
      </c>
      <c r="T42" s="421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Mai "&amp;Datenblatt!F5-1&amp;":   ","  - Zeitdefizit aus Mai "&amp;Datenblatt!F5&amp;":   ")</f>
        <v xml:space="preserve">  + Zeitguthaben aus Mai 2025:   </v>
      </c>
      <c r="S43" s="427" t="str">
        <f>Jän!S44</f>
        <v>________ h</v>
      </c>
      <c r="T43" s="427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198" t="str">
        <f>"Übertrag für Juli "&amp;Datenblatt!F5</f>
        <v>Übertrag für Juli 2026</v>
      </c>
      <c r="R44" s="204"/>
      <c r="S44" s="423" t="s">
        <v>239</v>
      </c>
      <c r="T44" s="423"/>
      <c r="U44" s="200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19">
        <f ca="1">TODAY()</f>
        <v>45935</v>
      </c>
      <c r="H45" s="419"/>
      <c r="I45" s="419"/>
      <c r="T45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G45:I45"/>
    <mergeCell ref="I42:J42"/>
    <mergeCell ref="S42:T42"/>
    <mergeCell ref="S43:T43"/>
    <mergeCell ref="S44:T44"/>
    <mergeCell ref="W7:W8"/>
    <mergeCell ref="F7:G7"/>
    <mergeCell ref="S7:S8"/>
    <mergeCell ref="X7:X8"/>
    <mergeCell ref="W40:X40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S41:T41"/>
    <mergeCell ref="L2:P2"/>
    <mergeCell ref="T4:U4"/>
    <mergeCell ref="T5:U5"/>
    <mergeCell ref="H7:M7"/>
    <mergeCell ref="N7:O7"/>
    <mergeCell ref="P7:P8"/>
    <mergeCell ref="Q7:Q8"/>
  </mergeCells>
  <phoneticPr fontId="2" type="noConversion"/>
  <conditionalFormatting sqref="A15 DY15:IV15">
    <cfRule type="cellIs" dxfId="46" priority="1" stopIfTrue="1" operator="equal">
      <formula>MATCH($E15,0)</formula>
    </cfRule>
    <cfRule type="expression" dxfId="45" priority="2" stopIfTrue="1">
      <formula>"WOCHENTAG($B8)=1"</formula>
    </cfRule>
    <cfRule type="expression" dxfId="44" priority="3" stopIfTrue="1">
      <formula>"WOCHENTAG($B8)=7"</formula>
    </cfRule>
  </conditionalFormatting>
  <conditionalFormatting sqref="B9:C38">
    <cfRule type="expression" dxfId="43" priority="8" stopIfTrue="1">
      <formula>($E9=1)</formula>
    </cfRule>
  </conditionalFormatting>
  <conditionalFormatting sqref="V9 B9:T38 V10:X10 V11:V38">
    <cfRule type="expression" dxfId="42" priority="4" stopIfTrue="1">
      <formula>($E9=0)</formula>
    </cfRule>
    <cfRule type="expression" dxfId="41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</vt:i4>
      </vt:variant>
    </vt:vector>
  </HeadingPairs>
  <TitlesOfParts>
    <vt:vector size="18" baseType="lpstr">
      <vt:lpstr>Datenblatt</vt:lpstr>
      <vt:lpstr>BV-Arbeitszeit</vt:lpstr>
      <vt:lpstr>Urlaubsmeldung</vt:lpstr>
      <vt:lpstr>Jän</vt:lpstr>
      <vt:lpstr>Feb</vt:lpstr>
      <vt:lpstr>März</vt:lpstr>
      <vt:lpstr>April</vt:lpstr>
      <vt:lpstr>Mai</vt:lpstr>
      <vt:lpstr>Juni</vt:lpstr>
      <vt:lpstr>Juli</vt:lpstr>
      <vt:lpstr>Aug</vt:lpstr>
      <vt:lpstr>Sept</vt:lpstr>
      <vt:lpstr>Okt</vt:lpstr>
      <vt:lpstr>Nov</vt:lpstr>
      <vt:lpstr>Dez</vt:lpstr>
      <vt:lpstr>REISERECHNUNG</vt:lpstr>
      <vt:lpstr>Jahresübersicht</vt:lpstr>
      <vt:lpstr>REISERECHNUNG!Druckbereich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Stabentheiner</dc:creator>
  <cp:lastModifiedBy>Gabriel Stabentheiner</cp:lastModifiedBy>
  <cp:lastPrinted>2021-12-10T09:27:48Z</cp:lastPrinted>
  <dcterms:created xsi:type="dcterms:W3CDTF">2011-11-07T11:51:46Z</dcterms:created>
  <dcterms:modified xsi:type="dcterms:W3CDTF">2025-10-05T08:33:20Z</dcterms:modified>
</cp:coreProperties>
</file>