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Texte-KB-Referat\Diverse-KB-Referat\Zeitkarten 2026\"/>
    </mc:Choice>
  </mc:AlternateContent>
  <xr:revisionPtr revIDLastSave="0" documentId="13_ncr:1_{5A822F38-AD5D-4467-8DB9-0058A27888C6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Datenblatt" sheetId="1" r:id="rId1"/>
    <sheet name="Urlaubsmeldung" sheetId="3" r:id="rId2"/>
    <sheet name="Jän" sheetId="4" r:id="rId3"/>
    <sheet name="Feb" sheetId="5" r:id="rId4"/>
    <sheet name="März" sheetId="6" r:id="rId5"/>
    <sheet name="April" sheetId="7" r:id="rId6"/>
    <sheet name="Mai" sheetId="8" r:id="rId7"/>
    <sheet name="Juni" sheetId="9" r:id="rId8"/>
    <sheet name="Juli" sheetId="10" r:id="rId9"/>
    <sheet name="Aug" sheetId="11" r:id="rId10"/>
    <sheet name="Sept" sheetId="12" r:id="rId11"/>
    <sheet name="Okt" sheetId="13" r:id="rId12"/>
    <sheet name="Nov" sheetId="14" r:id="rId13"/>
    <sheet name="Dez" sheetId="15" r:id="rId14"/>
    <sheet name="REISERECHNUNG" sheetId="16" r:id="rId15"/>
    <sheet name="Jahresübersicht" sheetId="17" r:id="rId16"/>
  </sheets>
  <definedNames>
    <definedName name="_xlnm.Print_Area" localSheetId="14">REISERECHNUNG!$A$1:$O$36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6" i="5" l="1"/>
  <c r="X46" i="6"/>
  <c r="X46" i="7"/>
  <c r="X46" i="8"/>
  <c r="X46" i="9"/>
  <c r="X46" i="10"/>
  <c r="X46" i="11"/>
  <c r="X46" i="12"/>
  <c r="X46" i="13"/>
  <c r="X46" i="14"/>
  <c r="X46" i="15"/>
  <c r="X46" i="4"/>
  <c r="W46" i="5"/>
  <c r="W46" i="6"/>
  <c r="W46" i="7"/>
  <c r="W46" i="8"/>
  <c r="W46" i="9"/>
  <c r="W46" i="10"/>
  <c r="W46" i="11"/>
  <c r="W46" i="12"/>
  <c r="W46" i="13"/>
  <c r="W46" i="14"/>
  <c r="W46" i="15"/>
  <c r="W46" i="4"/>
  <c r="L2" i="4"/>
  <c r="B9" i="4" s="1"/>
  <c r="F71" i="1"/>
  <c r="F74" i="1" s="1"/>
  <c r="F72" i="1"/>
  <c r="F73" i="1"/>
  <c r="A45" i="1"/>
  <c r="A12" i="17" s="1"/>
  <c r="A43" i="1"/>
  <c r="A44" i="1"/>
  <c r="A50" i="1"/>
  <c r="A17" i="17" s="1"/>
  <c r="A51" i="1"/>
  <c r="A55" i="1"/>
  <c r="A22" i="17" s="1"/>
  <c r="A57" i="1"/>
  <c r="A58" i="1"/>
  <c r="A59" i="1"/>
  <c r="A26" i="17" s="1"/>
  <c r="A61" i="1"/>
  <c r="A62" i="1" s="1"/>
  <c r="A29" i="17" s="1"/>
  <c r="A63" i="1"/>
  <c r="A30" i="17" s="1"/>
  <c r="A64" i="1"/>
  <c r="A31" i="17" s="1"/>
  <c r="L2" i="5"/>
  <c r="B9" i="5" s="1"/>
  <c r="L2" i="6"/>
  <c r="B9" i="6" s="1"/>
  <c r="L2" i="7"/>
  <c r="B9" i="7"/>
  <c r="B10" i="7" s="1"/>
  <c r="C10" i="7" s="1"/>
  <c r="L2" i="8"/>
  <c r="B9" i="8" s="1"/>
  <c r="L2" i="9"/>
  <c r="B9" i="9" s="1"/>
  <c r="L2" i="10"/>
  <c r="B9" i="10" s="1"/>
  <c r="L2" i="11"/>
  <c r="B9" i="11" s="1"/>
  <c r="L2" i="12"/>
  <c r="B9" i="12" s="1"/>
  <c r="L2" i="13"/>
  <c r="B9" i="13" s="1"/>
  <c r="L2" i="14"/>
  <c r="B9" i="14" s="1"/>
  <c r="L2" i="15"/>
  <c r="B9" i="15" s="1"/>
  <c r="K6" i="16"/>
  <c r="K42" i="1"/>
  <c r="N42" i="1"/>
  <c r="Q42" i="1" s="1"/>
  <c r="T42" i="1" s="1"/>
  <c r="W42" i="1" s="1"/>
  <c r="Z42" i="1" s="1"/>
  <c r="K55" i="1"/>
  <c r="N55" i="1" s="1"/>
  <c r="Q55" i="1" s="1"/>
  <c r="D11" i="1"/>
  <c r="T4" i="4" s="1"/>
  <c r="T5" i="4" s="1"/>
  <c r="T4" i="5" s="1"/>
  <c r="T5" i="5" s="1"/>
  <c r="T4" i="6" s="1"/>
  <c r="T5" i="6" s="1"/>
  <c r="T4" i="7" s="1"/>
  <c r="T5" i="7" s="1"/>
  <c r="T4" i="8" s="1"/>
  <c r="T5" i="8" s="1"/>
  <c r="T4" i="9" s="1"/>
  <c r="Q40" i="4"/>
  <c r="Q40" i="5"/>
  <c r="Q40" i="6"/>
  <c r="Q40" i="7"/>
  <c r="Q40" i="8"/>
  <c r="Q40" i="9"/>
  <c r="K7" i="17" s="1"/>
  <c r="Q40" i="10"/>
  <c r="Q40" i="11"/>
  <c r="Q40" i="13"/>
  <c r="Q40" i="15"/>
  <c r="Q40" i="12"/>
  <c r="Q40" i="14"/>
  <c r="A11" i="17"/>
  <c r="A14" i="17"/>
  <c r="A18" i="17"/>
  <c r="A24" i="17"/>
  <c r="A25" i="17"/>
  <c r="K33" i="1"/>
  <c r="K34" i="1"/>
  <c r="N34" i="1" s="1"/>
  <c r="Q34" i="1" s="1"/>
  <c r="T34" i="1" s="1"/>
  <c r="W34" i="1" s="1"/>
  <c r="Z34" i="1" s="1"/>
  <c r="K47" i="1" s="1"/>
  <c r="N47" i="1" s="1"/>
  <c r="Q47" i="1" s="1"/>
  <c r="T47" i="1" s="1"/>
  <c r="W47" i="1" s="1"/>
  <c r="Z47" i="1" s="1"/>
  <c r="K35" i="1"/>
  <c r="N35" i="1" s="1"/>
  <c r="Q35" i="1" s="1"/>
  <c r="T35" i="1" s="1"/>
  <c r="W35" i="1" s="1"/>
  <c r="Z35" i="1" s="1"/>
  <c r="K48" i="1" s="1"/>
  <c r="N48" i="1" s="1"/>
  <c r="Q48" i="1" s="1"/>
  <c r="T48" i="1" s="1"/>
  <c r="W48" i="1" s="1"/>
  <c r="Z48" i="1" s="1"/>
  <c r="K36" i="1"/>
  <c r="N36" i="1" s="1"/>
  <c r="Q36" i="1" s="1"/>
  <c r="T36" i="1" s="1"/>
  <c r="W36" i="1" s="1"/>
  <c r="Z36" i="1" s="1"/>
  <c r="K49" i="1" s="1"/>
  <c r="N49" i="1" s="1"/>
  <c r="Q49" i="1" s="1"/>
  <c r="T49" i="1" s="1"/>
  <c r="W49" i="1" s="1"/>
  <c r="Z49" i="1" s="1"/>
  <c r="K37" i="1"/>
  <c r="N37" i="1" s="1"/>
  <c r="Q37" i="1" s="1"/>
  <c r="T37" i="1" s="1"/>
  <c r="W37" i="1" s="1"/>
  <c r="Z37" i="1" s="1"/>
  <c r="K50" i="1" s="1"/>
  <c r="N50" i="1" s="1"/>
  <c r="Q50" i="1" s="1"/>
  <c r="T50" i="1" s="1"/>
  <c r="W50" i="1" s="1"/>
  <c r="Z50" i="1" s="1"/>
  <c r="K39" i="1"/>
  <c r="N39" i="1"/>
  <c r="Q39" i="1" s="1"/>
  <c r="T39" i="1" s="1"/>
  <c r="W39" i="1"/>
  <c r="Z39" i="1" s="1"/>
  <c r="K52" i="1"/>
  <c r="N52" i="1" s="1"/>
  <c r="Q52" i="1" s="1"/>
  <c r="T52" i="1" s="1"/>
  <c r="W52" i="1" s="1"/>
  <c r="Z52" i="1" s="1"/>
  <c r="K38" i="1"/>
  <c r="N38" i="1"/>
  <c r="Q38" i="1" s="1"/>
  <c r="T38" i="1" s="1"/>
  <c r="W38" i="1"/>
  <c r="Z38" i="1" s="1"/>
  <c r="K51" i="1" s="1"/>
  <c r="N51" i="1" s="1"/>
  <c r="Q51" i="1" s="1"/>
  <c r="T51" i="1" s="1"/>
  <c r="W51" i="1" s="1"/>
  <c r="Z51" i="1" s="1"/>
  <c r="T9" i="5"/>
  <c r="T10" i="5"/>
  <c r="E11" i="17" s="1"/>
  <c r="T11" i="5"/>
  <c r="T12" i="5"/>
  <c r="T13" i="5"/>
  <c r="T14" i="5"/>
  <c r="T15" i="5"/>
  <c r="T16" i="5"/>
  <c r="T17" i="5"/>
  <c r="T18" i="5"/>
  <c r="E19" i="17" s="1"/>
  <c r="T19" i="5"/>
  <c r="T20" i="5"/>
  <c r="T21" i="5"/>
  <c r="T22" i="5"/>
  <c r="E23" i="17" s="1"/>
  <c r="T23" i="5"/>
  <c r="T24" i="5"/>
  <c r="T25" i="5"/>
  <c r="T26" i="5"/>
  <c r="E27" i="17" s="1"/>
  <c r="T27" i="5"/>
  <c r="T28" i="5"/>
  <c r="E29" i="17" s="1"/>
  <c r="T29" i="5"/>
  <c r="T30" i="5"/>
  <c r="T31" i="5"/>
  <c r="T32" i="5"/>
  <c r="T33" i="5"/>
  <c r="T34" i="5"/>
  <c r="E35" i="17" s="1"/>
  <c r="T35" i="5"/>
  <c r="T36" i="5"/>
  <c r="T37" i="5"/>
  <c r="T38" i="5"/>
  <c r="T39" i="5"/>
  <c r="S43" i="4"/>
  <c r="T10" i="4"/>
  <c r="T9" i="4"/>
  <c r="T11" i="4"/>
  <c r="T12" i="4"/>
  <c r="T13" i="4"/>
  <c r="T14" i="4"/>
  <c r="T15" i="4"/>
  <c r="T16" i="4"/>
  <c r="T17" i="4"/>
  <c r="T18" i="4"/>
  <c r="C19" i="17" s="1"/>
  <c r="T19" i="4"/>
  <c r="T20" i="4"/>
  <c r="T21" i="4"/>
  <c r="T22" i="4"/>
  <c r="T23" i="4"/>
  <c r="T24" i="4"/>
  <c r="T25" i="4"/>
  <c r="T26" i="4"/>
  <c r="C27" i="17" s="1"/>
  <c r="T27" i="4"/>
  <c r="T28" i="4"/>
  <c r="T29" i="4"/>
  <c r="T30" i="4"/>
  <c r="T31" i="4"/>
  <c r="T32" i="4"/>
  <c r="T33" i="4"/>
  <c r="T34" i="4"/>
  <c r="C35" i="17" s="1"/>
  <c r="T35" i="4"/>
  <c r="T36" i="4"/>
  <c r="T37" i="4"/>
  <c r="T38" i="4"/>
  <c r="T39" i="4"/>
  <c r="T9" i="6"/>
  <c r="G10" i="17" s="1"/>
  <c r="T10" i="6"/>
  <c r="T11" i="6"/>
  <c r="G12" i="17" s="1"/>
  <c r="T12" i="6"/>
  <c r="T13" i="6"/>
  <c r="G14" i="17" s="1"/>
  <c r="T14" i="6"/>
  <c r="T15" i="6"/>
  <c r="T16" i="6"/>
  <c r="G17" i="17" s="1"/>
  <c r="T17" i="6"/>
  <c r="G18" i="17" s="1"/>
  <c r="T18" i="6"/>
  <c r="T19" i="6"/>
  <c r="G20" i="17" s="1"/>
  <c r="T20" i="6"/>
  <c r="T21" i="6"/>
  <c r="G22" i="17" s="1"/>
  <c r="T22" i="6"/>
  <c r="T23" i="6"/>
  <c r="T24" i="6"/>
  <c r="G25" i="17" s="1"/>
  <c r="T25" i="6"/>
  <c r="G26" i="17" s="1"/>
  <c r="T26" i="6"/>
  <c r="T27" i="6"/>
  <c r="G28" i="17" s="1"/>
  <c r="T28" i="6"/>
  <c r="T29" i="6"/>
  <c r="G30" i="17" s="1"/>
  <c r="T30" i="6"/>
  <c r="T31" i="6"/>
  <c r="T32" i="6"/>
  <c r="G33" i="17" s="1"/>
  <c r="T33" i="6"/>
  <c r="G34" i="17" s="1"/>
  <c r="T34" i="6"/>
  <c r="T35" i="6"/>
  <c r="G36" i="17" s="1"/>
  <c r="T36" i="6"/>
  <c r="T37" i="6"/>
  <c r="G38" i="17" s="1"/>
  <c r="T38" i="6"/>
  <c r="T39" i="6"/>
  <c r="T9" i="7"/>
  <c r="I10" i="17" s="1"/>
  <c r="T10" i="7"/>
  <c r="I11" i="17" s="1"/>
  <c r="T11" i="7"/>
  <c r="I12" i="17" s="1"/>
  <c r="T12" i="7"/>
  <c r="I13" i="17" s="1"/>
  <c r="T13" i="7"/>
  <c r="T14" i="7"/>
  <c r="T15" i="7"/>
  <c r="T16" i="7"/>
  <c r="T17" i="7"/>
  <c r="T18" i="7"/>
  <c r="I19" i="17" s="1"/>
  <c r="T19" i="7"/>
  <c r="I20" i="17" s="1"/>
  <c r="T20" i="7"/>
  <c r="I21" i="17" s="1"/>
  <c r="T21" i="7"/>
  <c r="T22" i="7"/>
  <c r="T23" i="7"/>
  <c r="T24" i="7"/>
  <c r="T25" i="7"/>
  <c r="T26" i="7"/>
  <c r="I27" i="17" s="1"/>
  <c r="T27" i="7"/>
  <c r="I28" i="17" s="1"/>
  <c r="T28" i="7"/>
  <c r="I29" i="17" s="1"/>
  <c r="T29" i="7"/>
  <c r="T30" i="7"/>
  <c r="T31" i="7"/>
  <c r="T32" i="7"/>
  <c r="T33" i="7"/>
  <c r="T34" i="7"/>
  <c r="I35" i="17" s="1"/>
  <c r="T35" i="7"/>
  <c r="T36" i="7"/>
  <c r="I37" i="17" s="1"/>
  <c r="T37" i="7"/>
  <c r="T38" i="7"/>
  <c r="T39" i="7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K29" i="17" s="1"/>
  <c r="T29" i="8"/>
  <c r="T30" i="8"/>
  <c r="T31" i="8"/>
  <c r="T32" i="8"/>
  <c r="T33" i="8"/>
  <c r="T34" i="8"/>
  <c r="T35" i="8"/>
  <c r="T36" i="8"/>
  <c r="K37" i="17" s="1"/>
  <c r="T37" i="8"/>
  <c r="T38" i="8"/>
  <c r="T39" i="8"/>
  <c r="T9" i="9"/>
  <c r="T10" i="9"/>
  <c r="T11" i="9"/>
  <c r="T12" i="9"/>
  <c r="M13" i="17" s="1"/>
  <c r="T13" i="9"/>
  <c r="T14" i="9"/>
  <c r="T15" i="9"/>
  <c r="T16" i="9"/>
  <c r="T17" i="9"/>
  <c r="T18" i="9"/>
  <c r="T19" i="9"/>
  <c r="T20" i="9"/>
  <c r="T21" i="9"/>
  <c r="T22" i="9"/>
  <c r="M23" i="17" s="1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M39" i="17" s="1"/>
  <c r="T39" i="9"/>
  <c r="T9" i="10"/>
  <c r="T10" i="10"/>
  <c r="T11" i="10"/>
  <c r="T12" i="10"/>
  <c r="T13" i="10"/>
  <c r="T14" i="10"/>
  <c r="T15" i="10"/>
  <c r="T16" i="10"/>
  <c r="O17" i="17" s="1"/>
  <c r="T17" i="10"/>
  <c r="T18" i="10"/>
  <c r="T19" i="10"/>
  <c r="T20" i="10"/>
  <c r="T21" i="10"/>
  <c r="T22" i="10"/>
  <c r="T23" i="10"/>
  <c r="T24" i="10"/>
  <c r="O25" i="17" s="1"/>
  <c r="T25" i="10"/>
  <c r="T26" i="10"/>
  <c r="T27" i="10"/>
  <c r="T28" i="10"/>
  <c r="T29" i="10"/>
  <c r="T30" i="10"/>
  <c r="T31" i="10"/>
  <c r="T32" i="10"/>
  <c r="O33" i="17" s="1"/>
  <c r="T33" i="10"/>
  <c r="T34" i="10"/>
  <c r="T35" i="10"/>
  <c r="T36" i="10"/>
  <c r="T37" i="10"/>
  <c r="T38" i="10"/>
  <c r="T39" i="10"/>
  <c r="T40" i="10"/>
  <c r="T9" i="11"/>
  <c r="T10" i="11"/>
  <c r="T11" i="11"/>
  <c r="T12" i="11"/>
  <c r="Q13" i="17" s="1"/>
  <c r="T13" i="11"/>
  <c r="T14" i="11"/>
  <c r="T15" i="11"/>
  <c r="T16" i="11"/>
  <c r="T17" i="11"/>
  <c r="T18" i="11"/>
  <c r="T19" i="11"/>
  <c r="T20" i="11"/>
  <c r="Q21" i="17" s="1"/>
  <c r="T21" i="11"/>
  <c r="T22" i="11"/>
  <c r="T23" i="11"/>
  <c r="T24" i="11"/>
  <c r="T25" i="11"/>
  <c r="T26" i="11"/>
  <c r="T27" i="11"/>
  <c r="T28" i="11"/>
  <c r="Q29" i="17" s="1"/>
  <c r="T29" i="11"/>
  <c r="T30" i="11"/>
  <c r="T31" i="11"/>
  <c r="T32" i="11"/>
  <c r="T33" i="11"/>
  <c r="T34" i="11"/>
  <c r="T35" i="11"/>
  <c r="T36" i="11"/>
  <c r="Q37" i="17" s="1"/>
  <c r="T37" i="11"/>
  <c r="T38" i="11"/>
  <c r="T39" i="11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W24" i="17" s="1"/>
  <c r="T24" i="14"/>
  <c r="T25" i="14"/>
  <c r="T26" i="14"/>
  <c r="T27" i="14"/>
  <c r="T28" i="14"/>
  <c r="T29" i="14"/>
  <c r="T30" i="14"/>
  <c r="T31" i="14"/>
  <c r="W32" i="17" s="1"/>
  <c r="T32" i="14"/>
  <c r="T33" i="14"/>
  <c r="T34" i="14"/>
  <c r="T35" i="14"/>
  <c r="T36" i="14"/>
  <c r="T37" i="14"/>
  <c r="T38" i="14"/>
  <c r="T39" i="14"/>
  <c r="D12" i="3"/>
  <c r="B23" i="3"/>
  <c r="B50" i="3"/>
  <c r="A38" i="1"/>
  <c r="M44" i="12"/>
  <c r="F5" i="12"/>
  <c r="F5" i="11"/>
  <c r="F5" i="10"/>
  <c r="F5" i="9"/>
  <c r="F5" i="8"/>
  <c r="F5" i="7"/>
  <c r="F5" i="6"/>
  <c r="F5" i="5"/>
  <c r="F5" i="4"/>
  <c r="F21" i="1"/>
  <c r="F22" i="1"/>
  <c r="F23" i="1"/>
  <c r="F24" i="1"/>
  <c r="F25" i="1"/>
  <c r="F26" i="1"/>
  <c r="F20" i="1"/>
  <c r="W2" i="7"/>
  <c r="G3" i="7"/>
  <c r="W3" i="7"/>
  <c r="W4" i="7"/>
  <c r="W5" i="7"/>
  <c r="R9" i="7"/>
  <c r="S9" i="7"/>
  <c r="R10" i="7"/>
  <c r="S10" i="7"/>
  <c r="R11" i="7"/>
  <c r="S11" i="7"/>
  <c r="R12" i="7"/>
  <c r="S12" i="7"/>
  <c r="R13" i="7"/>
  <c r="S13" i="7"/>
  <c r="R14" i="7"/>
  <c r="S14" i="7"/>
  <c r="R15" i="7"/>
  <c r="S15" i="7"/>
  <c r="R16" i="7"/>
  <c r="S16" i="7"/>
  <c r="R17" i="7"/>
  <c r="S17" i="7"/>
  <c r="R18" i="7"/>
  <c r="S18" i="7"/>
  <c r="R19" i="7"/>
  <c r="S19" i="7"/>
  <c r="R20" i="7"/>
  <c r="S20" i="7"/>
  <c r="R21" i="7"/>
  <c r="S21" i="7"/>
  <c r="R22" i="7"/>
  <c r="S22" i="7"/>
  <c r="R23" i="7"/>
  <c r="S23" i="7"/>
  <c r="R24" i="7"/>
  <c r="S24" i="7"/>
  <c r="R25" i="7"/>
  <c r="S25" i="7"/>
  <c r="R26" i="7"/>
  <c r="S26" i="7"/>
  <c r="R27" i="7"/>
  <c r="S27" i="7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P40" i="7"/>
  <c r="M41" i="7"/>
  <c r="M44" i="7"/>
  <c r="G45" i="7"/>
  <c r="W2" i="11"/>
  <c r="G3" i="11"/>
  <c r="W3" i="11"/>
  <c r="W4" i="11"/>
  <c r="W5" i="11"/>
  <c r="R9" i="11"/>
  <c r="S9" i="11"/>
  <c r="R10" i="11"/>
  <c r="S10" i="11"/>
  <c r="R11" i="11"/>
  <c r="R40" i="11" s="1"/>
  <c r="S11" i="11"/>
  <c r="R12" i="11"/>
  <c r="S12" i="11"/>
  <c r="R13" i="11"/>
  <c r="S13" i="11"/>
  <c r="R14" i="11"/>
  <c r="S14" i="11"/>
  <c r="R15" i="11"/>
  <c r="S15" i="11"/>
  <c r="R16" i="11"/>
  <c r="S16" i="11"/>
  <c r="R17" i="11"/>
  <c r="S17" i="11"/>
  <c r="R18" i="11"/>
  <c r="S18" i="11"/>
  <c r="R19" i="11"/>
  <c r="S19" i="11"/>
  <c r="R20" i="11"/>
  <c r="S20" i="11"/>
  <c r="R21" i="11"/>
  <c r="S21" i="11"/>
  <c r="R22" i="11"/>
  <c r="S22" i="11"/>
  <c r="R23" i="11"/>
  <c r="S23" i="11"/>
  <c r="R24" i="11"/>
  <c r="S24" i="11"/>
  <c r="R25" i="11"/>
  <c r="S25" i="11"/>
  <c r="R26" i="11"/>
  <c r="S26" i="11"/>
  <c r="R27" i="11"/>
  <c r="S27" i="11"/>
  <c r="R28" i="11"/>
  <c r="S28" i="11"/>
  <c r="R29" i="11"/>
  <c r="S29" i="11"/>
  <c r="R30" i="11"/>
  <c r="S30" i="11"/>
  <c r="R31" i="11"/>
  <c r="S31" i="11"/>
  <c r="R32" i="11"/>
  <c r="S32" i="11"/>
  <c r="R33" i="11"/>
  <c r="S33" i="11"/>
  <c r="R34" i="11"/>
  <c r="S34" i="11"/>
  <c r="R35" i="11"/>
  <c r="S35" i="11"/>
  <c r="R36" i="11"/>
  <c r="S36" i="11"/>
  <c r="R37" i="11"/>
  <c r="S37" i="11"/>
  <c r="R38" i="11"/>
  <c r="S38" i="11"/>
  <c r="R39" i="11"/>
  <c r="S39" i="11"/>
  <c r="P40" i="11"/>
  <c r="M41" i="11"/>
  <c r="M44" i="11"/>
  <c r="G45" i="11"/>
  <c r="A9" i="1"/>
  <c r="A10" i="1"/>
  <c r="A11" i="1"/>
  <c r="A13" i="1"/>
  <c r="D27" i="1"/>
  <c r="A42" i="1"/>
  <c r="W2" i="15"/>
  <c r="G3" i="15"/>
  <c r="W3" i="15"/>
  <c r="W4" i="15"/>
  <c r="W5" i="15"/>
  <c r="R9" i="15"/>
  <c r="S9" i="15"/>
  <c r="T9" i="15"/>
  <c r="R10" i="15"/>
  <c r="S10" i="15"/>
  <c r="T10" i="15"/>
  <c r="R11" i="15"/>
  <c r="S11" i="15"/>
  <c r="T11" i="15"/>
  <c r="R12" i="15"/>
  <c r="S12" i="15"/>
  <c r="T12" i="15"/>
  <c r="R13" i="15"/>
  <c r="S13" i="15"/>
  <c r="T13" i="15"/>
  <c r="R14" i="15"/>
  <c r="S14" i="15"/>
  <c r="T14" i="15"/>
  <c r="R15" i="15"/>
  <c r="S15" i="15"/>
  <c r="T15" i="15"/>
  <c r="Y16" i="17" s="1"/>
  <c r="R16" i="15"/>
  <c r="S16" i="15"/>
  <c r="T16" i="15"/>
  <c r="R17" i="15"/>
  <c r="S17" i="15"/>
  <c r="T17" i="15"/>
  <c r="R18" i="15"/>
  <c r="S18" i="15"/>
  <c r="T18" i="15"/>
  <c r="Y19" i="17" s="1"/>
  <c r="R19" i="15"/>
  <c r="S19" i="15"/>
  <c r="T19" i="15"/>
  <c r="R20" i="15"/>
  <c r="S20" i="15"/>
  <c r="T20" i="15"/>
  <c r="R21" i="15"/>
  <c r="S21" i="15"/>
  <c r="T21" i="15"/>
  <c r="R22" i="15"/>
  <c r="S22" i="15"/>
  <c r="T22" i="15"/>
  <c r="R23" i="15"/>
  <c r="S23" i="15"/>
  <c r="T23" i="15"/>
  <c r="R24" i="15"/>
  <c r="S24" i="15"/>
  <c r="T24" i="15"/>
  <c r="R25" i="15"/>
  <c r="S25" i="15"/>
  <c r="T25" i="15"/>
  <c r="R26" i="15"/>
  <c r="S26" i="15"/>
  <c r="T26" i="15"/>
  <c r="R27" i="15"/>
  <c r="S27" i="15"/>
  <c r="T27" i="15"/>
  <c r="R28" i="15"/>
  <c r="S28" i="15"/>
  <c r="T28" i="15"/>
  <c r="R29" i="15"/>
  <c r="S29" i="15"/>
  <c r="T29" i="15"/>
  <c r="R30" i="15"/>
  <c r="S30" i="15"/>
  <c r="T30" i="15"/>
  <c r="Y31" i="17" s="1"/>
  <c r="R31" i="15"/>
  <c r="S31" i="15"/>
  <c r="T31" i="15"/>
  <c r="R32" i="15"/>
  <c r="S32" i="15"/>
  <c r="T32" i="15"/>
  <c r="R33" i="15"/>
  <c r="S33" i="15"/>
  <c r="T33" i="15"/>
  <c r="R34" i="15"/>
  <c r="S34" i="15"/>
  <c r="T34" i="15"/>
  <c r="Y35" i="17" s="1"/>
  <c r="R35" i="15"/>
  <c r="S35" i="15"/>
  <c r="T35" i="15"/>
  <c r="R36" i="15"/>
  <c r="S36" i="15"/>
  <c r="T36" i="15"/>
  <c r="R37" i="15"/>
  <c r="S37" i="15"/>
  <c r="T37" i="15"/>
  <c r="R38" i="15"/>
  <c r="S38" i="15"/>
  <c r="T38" i="15"/>
  <c r="Y39" i="17" s="1"/>
  <c r="R39" i="15"/>
  <c r="S39" i="15"/>
  <c r="T39" i="15"/>
  <c r="P40" i="15"/>
  <c r="M41" i="15"/>
  <c r="M44" i="15"/>
  <c r="G45" i="15"/>
  <c r="W2" i="5"/>
  <c r="G3" i="5"/>
  <c r="W3" i="5"/>
  <c r="W4" i="5"/>
  <c r="W5" i="5"/>
  <c r="R9" i="5"/>
  <c r="S9" i="5"/>
  <c r="S40" i="5" s="1"/>
  <c r="R10" i="5"/>
  <c r="S10" i="5"/>
  <c r="R11" i="5"/>
  <c r="S11" i="5"/>
  <c r="R12" i="5"/>
  <c r="S12" i="5"/>
  <c r="R13" i="5"/>
  <c r="S13" i="5"/>
  <c r="R14" i="5"/>
  <c r="S14" i="5"/>
  <c r="R15" i="5"/>
  <c r="S15" i="5"/>
  <c r="R16" i="5"/>
  <c r="S16" i="5"/>
  <c r="R17" i="5"/>
  <c r="S17" i="5"/>
  <c r="R18" i="5"/>
  <c r="S18" i="5"/>
  <c r="R19" i="5"/>
  <c r="S19" i="5"/>
  <c r="R20" i="5"/>
  <c r="S20" i="5"/>
  <c r="R21" i="5"/>
  <c r="S21" i="5"/>
  <c r="R22" i="5"/>
  <c r="S22" i="5"/>
  <c r="R23" i="5"/>
  <c r="S23" i="5"/>
  <c r="R24" i="5"/>
  <c r="S24" i="5"/>
  <c r="R25" i="5"/>
  <c r="S25" i="5"/>
  <c r="R26" i="5"/>
  <c r="S26" i="5"/>
  <c r="R27" i="5"/>
  <c r="S27" i="5"/>
  <c r="R28" i="5"/>
  <c r="S28" i="5"/>
  <c r="R29" i="5"/>
  <c r="S29" i="5"/>
  <c r="R30" i="5"/>
  <c r="S30" i="5"/>
  <c r="R31" i="5"/>
  <c r="S31" i="5"/>
  <c r="R32" i="5"/>
  <c r="S32" i="5"/>
  <c r="R33" i="5"/>
  <c r="S33" i="5"/>
  <c r="R34" i="5"/>
  <c r="S34" i="5"/>
  <c r="R35" i="5"/>
  <c r="S35" i="5"/>
  <c r="R36" i="5"/>
  <c r="S36" i="5"/>
  <c r="R37" i="5"/>
  <c r="S37" i="5"/>
  <c r="R38" i="5"/>
  <c r="S38" i="5"/>
  <c r="R39" i="5"/>
  <c r="S39" i="5"/>
  <c r="P40" i="5"/>
  <c r="M41" i="5"/>
  <c r="M44" i="5"/>
  <c r="G45" i="5"/>
  <c r="E2" i="17"/>
  <c r="Y2" i="17"/>
  <c r="B4" i="17"/>
  <c r="K4" i="17"/>
  <c r="B6" i="17"/>
  <c r="H6" i="17"/>
  <c r="L6" i="17"/>
  <c r="B7" i="17"/>
  <c r="P40" i="4"/>
  <c r="P40" i="6"/>
  <c r="P40" i="8"/>
  <c r="P40" i="9"/>
  <c r="P40" i="10"/>
  <c r="P40" i="12"/>
  <c r="P40" i="13"/>
  <c r="P40" i="14"/>
  <c r="H7" i="17"/>
  <c r="M7" i="17"/>
  <c r="R7" i="17"/>
  <c r="A10" i="17"/>
  <c r="B10" i="17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C10" i="17"/>
  <c r="D10" i="17"/>
  <c r="D11" i="17" s="1"/>
  <c r="D12" i="17" s="1"/>
  <c r="D13" i="17" s="1"/>
  <c r="D14" i="17" s="1"/>
  <c r="D15" i="17" s="1"/>
  <c r="D16" i="17" s="1"/>
  <c r="D17" i="17" s="1"/>
  <c r="D18" i="17" s="1"/>
  <c r="D19" i="17" s="1"/>
  <c r="D20" i="17" s="1"/>
  <c r="D21" i="17" s="1"/>
  <c r="D22" i="17" s="1"/>
  <c r="D23" i="17" s="1"/>
  <c r="D24" i="17" s="1"/>
  <c r="D25" i="17" s="1"/>
  <c r="D26" i="17" s="1"/>
  <c r="D27" i="17" s="1"/>
  <c r="D28" i="17" s="1"/>
  <c r="D29" i="17" s="1"/>
  <c r="D30" i="17" s="1"/>
  <c r="D31" i="17" s="1"/>
  <c r="D32" i="17" s="1"/>
  <c r="D33" i="17" s="1"/>
  <c r="D34" i="17" s="1"/>
  <c r="D35" i="17" s="1"/>
  <c r="D36" i="17" s="1"/>
  <c r="D37" i="17" s="1"/>
  <c r="D38" i="17" s="1"/>
  <c r="E10" i="17"/>
  <c r="F10" i="17"/>
  <c r="H10" i="17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J10" i="17"/>
  <c r="J11" i="17" s="1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J30" i="17" s="1"/>
  <c r="J31" i="17" s="1"/>
  <c r="J32" i="17" s="1"/>
  <c r="J33" i="17" s="1"/>
  <c r="J34" i="17" s="1"/>
  <c r="J35" i="17" s="1"/>
  <c r="J36" i="17" s="1"/>
  <c r="J37" i="17" s="1"/>
  <c r="J38" i="17" s="1"/>
  <c r="J39" i="17" s="1"/>
  <c r="J40" i="17" s="1"/>
  <c r="K10" i="17"/>
  <c r="L10" i="17"/>
  <c r="L11" i="17" s="1"/>
  <c r="L12" i="17" s="1"/>
  <c r="L13" i="17" s="1"/>
  <c r="L14" i="17" s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L30" i="17" s="1"/>
  <c r="L31" i="17" s="1"/>
  <c r="L32" i="17" s="1"/>
  <c r="L33" i="17" s="1"/>
  <c r="L34" i="17" s="1"/>
  <c r="L35" i="17" s="1"/>
  <c r="L36" i="17" s="1"/>
  <c r="L37" i="17" s="1"/>
  <c r="L38" i="17" s="1"/>
  <c r="L39" i="17" s="1"/>
  <c r="M10" i="17"/>
  <c r="N10" i="17"/>
  <c r="N11" i="17" s="1"/>
  <c r="N12" i="17" s="1"/>
  <c r="N13" i="17" s="1"/>
  <c r="N14" i="17" s="1"/>
  <c r="N15" i="17" s="1"/>
  <c r="N16" i="17" s="1"/>
  <c r="N17" i="17" s="1"/>
  <c r="N18" i="17" s="1"/>
  <c r="N19" i="17" s="1"/>
  <c r="N20" i="17" s="1"/>
  <c r="N21" i="17" s="1"/>
  <c r="N22" i="17" s="1"/>
  <c r="N23" i="17" s="1"/>
  <c r="N24" i="17" s="1"/>
  <c r="N25" i="17" s="1"/>
  <c r="N26" i="17" s="1"/>
  <c r="N27" i="17" s="1"/>
  <c r="N28" i="17" s="1"/>
  <c r="N29" i="17" s="1"/>
  <c r="N30" i="17" s="1"/>
  <c r="N31" i="17" s="1"/>
  <c r="N32" i="17" s="1"/>
  <c r="N33" i="17" s="1"/>
  <c r="N34" i="17" s="1"/>
  <c r="N35" i="17" s="1"/>
  <c r="N36" i="17" s="1"/>
  <c r="N37" i="17" s="1"/>
  <c r="N38" i="17" s="1"/>
  <c r="N39" i="17" s="1"/>
  <c r="N40" i="17" s="1"/>
  <c r="O10" i="17"/>
  <c r="P10" i="17"/>
  <c r="P11" i="17" s="1"/>
  <c r="P12" i="17" s="1"/>
  <c r="P13" i="17" s="1"/>
  <c r="P14" i="17" s="1"/>
  <c r="P15" i="17" s="1"/>
  <c r="P16" i="17" s="1"/>
  <c r="P17" i="17" s="1"/>
  <c r="P18" i="17" s="1"/>
  <c r="P19" i="17" s="1"/>
  <c r="Q10" i="17"/>
  <c r="R10" i="17"/>
  <c r="R11" i="17" s="1"/>
  <c r="R12" i="17" s="1"/>
  <c r="R13" i="17" s="1"/>
  <c r="R14" i="17" s="1"/>
  <c r="R15" i="17" s="1"/>
  <c r="R16" i="17" s="1"/>
  <c r="R17" i="17" s="1"/>
  <c r="R18" i="17" s="1"/>
  <c r="R19" i="17" s="1"/>
  <c r="R20" i="17" s="1"/>
  <c r="R21" i="17" s="1"/>
  <c r="R22" i="17" s="1"/>
  <c r="R23" i="17" s="1"/>
  <c r="R24" i="17" s="1"/>
  <c r="R25" i="17" s="1"/>
  <c r="R26" i="17" s="1"/>
  <c r="R27" i="17" s="1"/>
  <c r="R28" i="17" s="1"/>
  <c r="R29" i="17" s="1"/>
  <c r="R30" i="17" s="1"/>
  <c r="R31" i="17" s="1"/>
  <c r="R32" i="17" s="1"/>
  <c r="R33" i="17" s="1"/>
  <c r="R34" i="17" s="1"/>
  <c r="R35" i="17" s="1"/>
  <c r="R36" i="17" s="1"/>
  <c r="R37" i="17" s="1"/>
  <c r="R38" i="17" s="1"/>
  <c r="R39" i="17" s="1"/>
  <c r="T10" i="17"/>
  <c r="T11" i="17" s="1"/>
  <c r="T12" i="17" s="1"/>
  <c r="T13" i="17" s="1"/>
  <c r="T14" i="17" s="1"/>
  <c r="T15" i="17" s="1"/>
  <c r="T16" i="17" s="1"/>
  <c r="T17" i="17" s="1"/>
  <c r="T18" i="17" s="1"/>
  <c r="T19" i="17" s="1"/>
  <c r="T20" i="17" s="1"/>
  <c r="T21" i="17" s="1"/>
  <c r="T22" i="17" s="1"/>
  <c r="T23" i="17" s="1"/>
  <c r="T24" i="17" s="1"/>
  <c r="U10" i="17"/>
  <c r="V10" i="17"/>
  <c r="W10" i="17"/>
  <c r="X10" i="17"/>
  <c r="X11" i="17" s="1"/>
  <c r="X12" i="17" s="1"/>
  <c r="X13" i="17" s="1"/>
  <c r="X14" i="17" s="1"/>
  <c r="X15" i="17" s="1"/>
  <c r="X16" i="17" s="1"/>
  <c r="X17" i="17" s="1"/>
  <c r="X18" i="17" s="1"/>
  <c r="X19" i="17" s="1"/>
  <c r="X20" i="17" s="1"/>
  <c r="X21" i="17" s="1"/>
  <c r="X22" i="17" s="1"/>
  <c r="X23" i="17" s="1"/>
  <c r="X24" i="17" s="1"/>
  <c r="X25" i="17" s="1"/>
  <c r="X26" i="17" s="1"/>
  <c r="X27" i="17" s="1"/>
  <c r="X28" i="17" s="1"/>
  <c r="X29" i="17" s="1"/>
  <c r="X30" i="17" s="1"/>
  <c r="X31" i="17" s="1"/>
  <c r="X32" i="17" s="1"/>
  <c r="X33" i="17" s="1"/>
  <c r="X34" i="17" s="1"/>
  <c r="X35" i="17" s="1"/>
  <c r="X36" i="17" s="1"/>
  <c r="X37" i="17" s="1"/>
  <c r="X38" i="17" s="1"/>
  <c r="X39" i="17" s="1"/>
  <c r="X40" i="17" s="1"/>
  <c r="Y10" i="17"/>
  <c r="C11" i="17"/>
  <c r="F11" i="17"/>
  <c r="F12" i="17" s="1"/>
  <c r="F13" i="17" s="1"/>
  <c r="F14" i="17" s="1"/>
  <c r="F15" i="17" s="1"/>
  <c r="F16" i="17" s="1"/>
  <c r="F17" i="17" s="1"/>
  <c r="F18" i="17" s="1"/>
  <c r="F19" i="17" s="1"/>
  <c r="F20" i="17" s="1"/>
  <c r="F21" i="17" s="1"/>
  <c r="F22" i="17" s="1"/>
  <c r="F23" i="17" s="1"/>
  <c r="F24" i="17" s="1"/>
  <c r="F25" i="17" s="1"/>
  <c r="F26" i="17" s="1"/>
  <c r="F27" i="17" s="1"/>
  <c r="F28" i="17" s="1"/>
  <c r="F29" i="17" s="1"/>
  <c r="F30" i="17" s="1"/>
  <c r="F31" i="17" s="1"/>
  <c r="F32" i="17" s="1"/>
  <c r="F33" i="17" s="1"/>
  <c r="F34" i="17" s="1"/>
  <c r="F35" i="17" s="1"/>
  <c r="F36" i="17" s="1"/>
  <c r="F37" i="17" s="1"/>
  <c r="F38" i="17" s="1"/>
  <c r="F39" i="17" s="1"/>
  <c r="F40" i="17" s="1"/>
  <c r="G11" i="17"/>
  <c r="K11" i="17"/>
  <c r="M11" i="17"/>
  <c r="O11" i="17"/>
  <c r="Q11" i="17"/>
  <c r="S11" i="17"/>
  <c r="U11" i="17"/>
  <c r="V11" i="17"/>
  <c r="V12" i="17" s="1"/>
  <c r="V13" i="17" s="1"/>
  <c r="V14" i="17" s="1"/>
  <c r="V15" i="17" s="1"/>
  <c r="V16" i="17" s="1"/>
  <c r="V17" i="17" s="1"/>
  <c r="V18" i="17" s="1"/>
  <c r="V19" i="17" s="1"/>
  <c r="V20" i="17" s="1"/>
  <c r="V21" i="17" s="1"/>
  <c r="V22" i="17" s="1"/>
  <c r="V23" i="17" s="1"/>
  <c r="V24" i="17" s="1"/>
  <c r="V25" i="17" s="1"/>
  <c r="V26" i="17" s="1"/>
  <c r="V27" i="17" s="1"/>
  <c r="V28" i="17" s="1"/>
  <c r="V29" i="17" s="1"/>
  <c r="V30" i="17" s="1"/>
  <c r="V31" i="17" s="1"/>
  <c r="V32" i="17" s="1"/>
  <c r="V33" i="17" s="1"/>
  <c r="V34" i="17" s="1"/>
  <c r="V35" i="17" s="1"/>
  <c r="V36" i="17" s="1"/>
  <c r="V37" i="17" s="1"/>
  <c r="V38" i="17" s="1"/>
  <c r="V39" i="17" s="1"/>
  <c r="W11" i="17"/>
  <c r="C12" i="17"/>
  <c r="E12" i="17"/>
  <c r="K12" i="17"/>
  <c r="M12" i="17"/>
  <c r="O12" i="17"/>
  <c r="Q12" i="17"/>
  <c r="S12" i="17"/>
  <c r="U12" i="17"/>
  <c r="W12" i="17"/>
  <c r="Y12" i="17"/>
  <c r="C13" i="17"/>
  <c r="E13" i="17"/>
  <c r="G13" i="17"/>
  <c r="K13" i="17"/>
  <c r="O13" i="17"/>
  <c r="S13" i="17"/>
  <c r="U13" i="17"/>
  <c r="W13" i="17"/>
  <c r="Y13" i="17"/>
  <c r="C14" i="17"/>
  <c r="E14" i="17"/>
  <c r="I14" i="17"/>
  <c r="K14" i="17"/>
  <c r="M14" i="17"/>
  <c r="O14" i="17"/>
  <c r="Q14" i="17"/>
  <c r="S14" i="17"/>
  <c r="U14" i="17"/>
  <c r="W14" i="17"/>
  <c r="Y14" i="17"/>
  <c r="C15" i="17"/>
  <c r="E15" i="17"/>
  <c r="G15" i="17"/>
  <c r="I15" i="17"/>
  <c r="K15" i="17"/>
  <c r="M15" i="17"/>
  <c r="O15" i="17"/>
  <c r="Q15" i="17"/>
  <c r="S15" i="17"/>
  <c r="U15" i="17"/>
  <c r="W15" i="17"/>
  <c r="Y15" i="17"/>
  <c r="C16" i="17"/>
  <c r="E16" i="17"/>
  <c r="G16" i="17"/>
  <c r="I16" i="17"/>
  <c r="K16" i="17"/>
  <c r="M16" i="17"/>
  <c r="O16" i="17"/>
  <c r="Q16" i="17"/>
  <c r="S16" i="17"/>
  <c r="U16" i="17"/>
  <c r="C17" i="17"/>
  <c r="E17" i="17"/>
  <c r="I17" i="17"/>
  <c r="K17" i="17"/>
  <c r="M17" i="17"/>
  <c r="Q17" i="17"/>
  <c r="S17" i="17"/>
  <c r="U17" i="17"/>
  <c r="W17" i="17"/>
  <c r="Y17" i="17"/>
  <c r="C18" i="17"/>
  <c r="E18" i="17"/>
  <c r="I18" i="17"/>
  <c r="K18" i="17"/>
  <c r="M18" i="17"/>
  <c r="O18" i="17"/>
  <c r="Q18" i="17"/>
  <c r="S18" i="17"/>
  <c r="U18" i="17"/>
  <c r="W18" i="17"/>
  <c r="Y18" i="17"/>
  <c r="G19" i="17"/>
  <c r="K19" i="17"/>
  <c r="M19" i="17"/>
  <c r="O19" i="17"/>
  <c r="Q19" i="17"/>
  <c r="S19" i="17"/>
  <c r="U19" i="17"/>
  <c r="W19" i="17"/>
  <c r="C20" i="17"/>
  <c r="E20" i="17"/>
  <c r="K20" i="17"/>
  <c r="M20" i="17"/>
  <c r="O20" i="17"/>
  <c r="P20" i="17"/>
  <c r="P21" i="17" s="1"/>
  <c r="P22" i="17" s="1"/>
  <c r="P23" i="17" s="1"/>
  <c r="P24" i="17" s="1"/>
  <c r="P25" i="17" s="1"/>
  <c r="P26" i="17" s="1"/>
  <c r="P27" i="17" s="1"/>
  <c r="P28" i="17" s="1"/>
  <c r="P29" i="17" s="1"/>
  <c r="P30" i="17" s="1"/>
  <c r="P31" i="17" s="1"/>
  <c r="P32" i="17" s="1"/>
  <c r="P33" i="17" s="1"/>
  <c r="P34" i="17" s="1"/>
  <c r="P35" i="17" s="1"/>
  <c r="P36" i="17" s="1"/>
  <c r="P37" i="17" s="1"/>
  <c r="P38" i="17" s="1"/>
  <c r="P39" i="17" s="1"/>
  <c r="P40" i="17" s="1"/>
  <c r="Q20" i="17"/>
  <c r="S20" i="17"/>
  <c r="U20" i="17"/>
  <c r="W20" i="17"/>
  <c r="Y20" i="17"/>
  <c r="C21" i="17"/>
  <c r="E21" i="17"/>
  <c r="G21" i="17"/>
  <c r="K21" i="17"/>
  <c r="M21" i="17"/>
  <c r="O21" i="17"/>
  <c r="S21" i="17"/>
  <c r="U21" i="17"/>
  <c r="W21" i="17"/>
  <c r="Y21" i="17"/>
  <c r="C22" i="17"/>
  <c r="E22" i="17"/>
  <c r="I22" i="17"/>
  <c r="K22" i="17"/>
  <c r="M22" i="17"/>
  <c r="O22" i="17"/>
  <c r="Q22" i="17"/>
  <c r="S22" i="17"/>
  <c r="U22" i="17"/>
  <c r="W22" i="17"/>
  <c r="Y22" i="17"/>
  <c r="C23" i="17"/>
  <c r="G23" i="17"/>
  <c r="I23" i="17"/>
  <c r="K23" i="17"/>
  <c r="O23" i="17"/>
  <c r="Q23" i="17"/>
  <c r="S23" i="17"/>
  <c r="U23" i="17"/>
  <c r="W23" i="17"/>
  <c r="Y23" i="17"/>
  <c r="C24" i="17"/>
  <c r="E24" i="17"/>
  <c r="G24" i="17"/>
  <c r="I24" i="17"/>
  <c r="K24" i="17"/>
  <c r="M24" i="17"/>
  <c r="O24" i="17"/>
  <c r="Q24" i="17"/>
  <c r="S24" i="17"/>
  <c r="U24" i="17"/>
  <c r="Y24" i="17"/>
  <c r="C25" i="17"/>
  <c r="E25" i="17"/>
  <c r="I25" i="17"/>
  <c r="K25" i="17"/>
  <c r="M25" i="17"/>
  <c r="Q25" i="17"/>
  <c r="S25" i="17"/>
  <c r="T25" i="17"/>
  <c r="T26" i="17" s="1"/>
  <c r="T27" i="17" s="1"/>
  <c r="T28" i="17" s="1"/>
  <c r="T29" i="17" s="1"/>
  <c r="T30" i="17" s="1"/>
  <c r="T31" i="17" s="1"/>
  <c r="T32" i="17" s="1"/>
  <c r="T33" i="17" s="1"/>
  <c r="T34" i="17" s="1"/>
  <c r="T35" i="17" s="1"/>
  <c r="T36" i="17" s="1"/>
  <c r="T37" i="17" s="1"/>
  <c r="T38" i="17" s="1"/>
  <c r="T39" i="17" s="1"/>
  <c r="T40" i="17" s="1"/>
  <c r="U25" i="17"/>
  <c r="W25" i="17"/>
  <c r="Y25" i="17"/>
  <c r="C26" i="17"/>
  <c r="E26" i="17"/>
  <c r="I26" i="17"/>
  <c r="K26" i="17"/>
  <c r="M26" i="17"/>
  <c r="O26" i="17"/>
  <c r="Q26" i="17"/>
  <c r="S26" i="17"/>
  <c r="U26" i="17"/>
  <c r="W26" i="17"/>
  <c r="Y26" i="17"/>
  <c r="G27" i="17"/>
  <c r="K27" i="17"/>
  <c r="M27" i="17"/>
  <c r="O27" i="17"/>
  <c r="Q27" i="17"/>
  <c r="S27" i="17"/>
  <c r="U27" i="17"/>
  <c r="W27" i="17"/>
  <c r="Y27" i="17"/>
  <c r="C28" i="17"/>
  <c r="E28" i="17"/>
  <c r="K28" i="17"/>
  <c r="M28" i="17"/>
  <c r="O28" i="17"/>
  <c r="Q28" i="17"/>
  <c r="S28" i="17"/>
  <c r="U28" i="17"/>
  <c r="W28" i="17"/>
  <c r="Y28" i="17"/>
  <c r="C29" i="17"/>
  <c r="G29" i="17"/>
  <c r="M29" i="17"/>
  <c r="O29" i="17"/>
  <c r="S29" i="17"/>
  <c r="U29" i="17"/>
  <c r="W29" i="17"/>
  <c r="Y29" i="17"/>
  <c r="C30" i="17"/>
  <c r="E30" i="17"/>
  <c r="I30" i="17"/>
  <c r="K30" i="17"/>
  <c r="M30" i="17"/>
  <c r="O30" i="17"/>
  <c r="Q30" i="17"/>
  <c r="S30" i="17"/>
  <c r="U30" i="17"/>
  <c r="W30" i="17"/>
  <c r="Y30" i="17"/>
  <c r="C31" i="17"/>
  <c r="E31" i="17"/>
  <c r="G31" i="17"/>
  <c r="I31" i="17"/>
  <c r="K31" i="17"/>
  <c r="M31" i="17"/>
  <c r="O31" i="17"/>
  <c r="Q31" i="17"/>
  <c r="S31" i="17"/>
  <c r="U31" i="17"/>
  <c r="W31" i="17"/>
  <c r="C32" i="17"/>
  <c r="E32" i="17"/>
  <c r="G32" i="17"/>
  <c r="I32" i="17"/>
  <c r="K32" i="17"/>
  <c r="M32" i="17"/>
  <c r="O32" i="17"/>
  <c r="Q32" i="17"/>
  <c r="S32" i="17"/>
  <c r="U32" i="17"/>
  <c r="Y32" i="17"/>
  <c r="C33" i="17"/>
  <c r="E33" i="17"/>
  <c r="I33" i="17"/>
  <c r="K33" i="17"/>
  <c r="M33" i="17"/>
  <c r="Q33" i="17"/>
  <c r="S33" i="17"/>
  <c r="U33" i="17"/>
  <c r="W33" i="17"/>
  <c r="Y33" i="17"/>
  <c r="C34" i="17"/>
  <c r="E34" i="17"/>
  <c r="I34" i="17"/>
  <c r="K34" i="17"/>
  <c r="M34" i="17"/>
  <c r="O34" i="17"/>
  <c r="Q34" i="17"/>
  <c r="S34" i="17"/>
  <c r="U34" i="17"/>
  <c r="W34" i="17"/>
  <c r="Y34" i="17"/>
  <c r="G35" i="17"/>
  <c r="K35" i="17"/>
  <c r="M35" i="17"/>
  <c r="O35" i="17"/>
  <c r="Q35" i="17"/>
  <c r="S35" i="17"/>
  <c r="U35" i="17"/>
  <c r="W35" i="17"/>
  <c r="C36" i="17"/>
  <c r="E36" i="17"/>
  <c r="I36" i="17"/>
  <c r="K36" i="17"/>
  <c r="M36" i="17"/>
  <c r="O36" i="17"/>
  <c r="Q36" i="17"/>
  <c r="S36" i="17"/>
  <c r="U36" i="17"/>
  <c r="W36" i="17"/>
  <c r="Y36" i="17"/>
  <c r="C37" i="17"/>
  <c r="E37" i="17"/>
  <c r="G37" i="17"/>
  <c r="M37" i="17"/>
  <c r="O37" i="17"/>
  <c r="S37" i="17"/>
  <c r="U37" i="17"/>
  <c r="W37" i="17"/>
  <c r="Y37" i="17"/>
  <c r="C38" i="17"/>
  <c r="E38" i="17"/>
  <c r="I38" i="17"/>
  <c r="K38" i="17"/>
  <c r="M38" i="17"/>
  <c r="O38" i="17"/>
  <c r="Q38" i="17"/>
  <c r="S38" i="17"/>
  <c r="U38" i="17"/>
  <c r="W38" i="17"/>
  <c r="Y38" i="17"/>
  <c r="C39" i="17"/>
  <c r="G39" i="17"/>
  <c r="I39" i="17"/>
  <c r="K39" i="17"/>
  <c r="O39" i="17"/>
  <c r="Q39" i="17"/>
  <c r="S39" i="17"/>
  <c r="U39" i="17"/>
  <c r="W39" i="17"/>
  <c r="C40" i="17"/>
  <c r="G40" i="17"/>
  <c r="K40" i="17"/>
  <c r="O40" i="17"/>
  <c r="Q40" i="17"/>
  <c r="U40" i="17"/>
  <c r="Y40" i="17"/>
  <c r="W2" i="4"/>
  <c r="G3" i="4"/>
  <c r="W3" i="4"/>
  <c r="W4" i="4"/>
  <c r="W5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34" i="4"/>
  <c r="S34" i="4"/>
  <c r="R35" i="4"/>
  <c r="S35" i="4"/>
  <c r="R36" i="4"/>
  <c r="S36" i="4"/>
  <c r="R37" i="4"/>
  <c r="S37" i="4"/>
  <c r="R38" i="4"/>
  <c r="S38" i="4"/>
  <c r="R39" i="4"/>
  <c r="S39" i="4"/>
  <c r="M41" i="4"/>
  <c r="M44" i="4"/>
  <c r="G45" i="4"/>
  <c r="W2" i="10"/>
  <c r="G3" i="10"/>
  <c r="W3" i="10"/>
  <c r="W4" i="10"/>
  <c r="W5" i="10"/>
  <c r="R9" i="10"/>
  <c r="S9" i="10"/>
  <c r="R10" i="10"/>
  <c r="S10" i="10"/>
  <c r="R11" i="10"/>
  <c r="S11" i="10"/>
  <c r="R12" i="10"/>
  <c r="S12" i="10"/>
  <c r="R13" i="10"/>
  <c r="S13" i="10"/>
  <c r="R14" i="10"/>
  <c r="S14" i="10"/>
  <c r="R15" i="10"/>
  <c r="S15" i="10"/>
  <c r="R16" i="10"/>
  <c r="S16" i="10"/>
  <c r="R17" i="10"/>
  <c r="S17" i="10"/>
  <c r="R18" i="10"/>
  <c r="S18" i="10"/>
  <c r="R19" i="10"/>
  <c r="S19" i="10"/>
  <c r="R20" i="10"/>
  <c r="S20" i="10"/>
  <c r="R21" i="10"/>
  <c r="S21" i="10"/>
  <c r="R22" i="10"/>
  <c r="S22" i="10"/>
  <c r="R23" i="10"/>
  <c r="S23" i="10"/>
  <c r="R24" i="10"/>
  <c r="S24" i="10"/>
  <c r="R25" i="10"/>
  <c r="S25" i="10"/>
  <c r="R26" i="10"/>
  <c r="S26" i="10"/>
  <c r="R27" i="10"/>
  <c r="S27" i="10"/>
  <c r="R28" i="10"/>
  <c r="S28" i="10"/>
  <c r="R29" i="10"/>
  <c r="S29" i="10"/>
  <c r="R30" i="10"/>
  <c r="S30" i="10"/>
  <c r="R31" i="10"/>
  <c r="S31" i="10"/>
  <c r="R32" i="10"/>
  <c r="S32" i="10"/>
  <c r="R33" i="10"/>
  <c r="S33" i="10"/>
  <c r="R34" i="10"/>
  <c r="S34" i="10"/>
  <c r="R35" i="10"/>
  <c r="S35" i="10"/>
  <c r="R36" i="10"/>
  <c r="S36" i="10"/>
  <c r="R37" i="10"/>
  <c r="S37" i="10"/>
  <c r="R38" i="10"/>
  <c r="S38" i="10"/>
  <c r="R39" i="10"/>
  <c r="S39" i="10"/>
  <c r="M41" i="10"/>
  <c r="M44" i="10"/>
  <c r="G45" i="10"/>
  <c r="W2" i="9"/>
  <c r="G3" i="9"/>
  <c r="W3" i="9"/>
  <c r="W4" i="9"/>
  <c r="W5" i="9"/>
  <c r="R9" i="9"/>
  <c r="S9" i="9"/>
  <c r="R10" i="9"/>
  <c r="S10" i="9"/>
  <c r="S40" i="9" s="1"/>
  <c r="R11" i="9"/>
  <c r="S11" i="9"/>
  <c r="R12" i="9"/>
  <c r="S12" i="9"/>
  <c r="R13" i="9"/>
  <c r="S13" i="9"/>
  <c r="R14" i="9"/>
  <c r="S14" i="9"/>
  <c r="R15" i="9"/>
  <c r="S15" i="9"/>
  <c r="R16" i="9"/>
  <c r="S16" i="9"/>
  <c r="R17" i="9"/>
  <c r="S17" i="9"/>
  <c r="R18" i="9"/>
  <c r="S18" i="9"/>
  <c r="R19" i="9"/>
  <c r="S19" i="9"/>
  <c r="R20" i="9"/>
  <c r="S20" i="9"/>
  <c r="R21" i="9"/>
  <c r="S21" i="9"/>
  <c r="R22" i="9"/>
  <c r="S22" i="9"/>
  <c r="R23" i="9"/>
  <c r="S23" i="9"/>
  <c r="R24" i="9"/>
  <c r="S24" i="9"/>
  <c r="R25" i="9"/>
  <c r="S25" i="9"/>
  <c r="R26" i="9"/>
  <c r="S26" i="9"/>
  <c r="R27" i="9"/>
  <c r="S27" i="9"/>
  <c r="R28" i="9"/>
  <c r="S28" i="9"/>
  <c r="R29" i="9"/>
  <c r="S29" i="9"/>
  <c r="R30" i="9"/>
  <c r="S30" i="9"/>
  <c r="R31" i="9"/>
  <c r="S31" i="9"/>
  <c r="R32" i="9"/>
  <c r="S32" i="9"/>
  <c r="R33" i="9"/>
  <c r="S33" i="9"/>
  <c r="R34" i="9"/>
  <c r="S34" i="9"/>
  <c r="R35" i="9"/>
  <c r="S35" i="9"/>
  <c r="R36" i="9"/>
  <c r="S36" i="9"/>
  <c r="R37" i="9"/>
  <c r="S37" i="9"/>
  <c r="R38" i="9"/>
  <c r="S38" i="9"/>
  <c r="R39" i="9"/>
  <c r="S39" i="9"/>
  <c r="M41" i="9"/>
  <c r="M44" i="9"/>
  <c r="G45" i="9"/>
  <c r="W2" i="8"/>
  <c r="G3" i="8"/>
  <c r="W3" i="8"/>
  <c r="W4" i="8"/>
  <c r="W5" i="8"/>
  <c r="R9" i="8"/>
  <c r="S9" i="8"/>
  <c r="R10" i="8"/>
  <c r="S10" i="8"/>
  <c r="R11" i="8"/>
  <c r="S11" i="8"/>
  <c r="R12" i="8"/>
  <c r="S12" i="8"/>
  <c r="R13" i="8"/>
  <c r="S13" i="8"/>
  <c r="R14" i="8"/>
  <c r="S14" i="8"/>
  <c r="R15" i="8"/>
  <c r="S15" i="8"/>
  <c r="R16" i="8"/>
  <c r="S16" i="8"/>
  <c r="R17" i="8"/>
  <c r="S17" i="8"/>
  <c r="R18" i="8"/>
  <c r="S18" i="8"/>
  <c r="R19" i="8"/>
  <c r="S19" i="8"/>
  <c r="R20" i="8"/>
  <c r="S20" i="8"/>
  <c r="R21" i="8"/>
  <c r="S21" i="8"/>
  <c r="R22" i="8"/>
  <c r="S22" i="8"/>
  <c r="R23" i="8"/>
  <c r="S23" i="8"/>
  <c r="R24" i="8"/>
  <c r="S24" i="8"/>
  <c r="S40" i="8" s="1"/>
  <c r="R25" i="8"/>
  <c r="S25" i="8"/>
  <c r="R26" i="8"/>
  <c r="S26" i="8"/>
  <c r="R27" i="8"/>
  <c r="S27" i="8"/>
  <c r="R28" i="8"/>
  <c r="S28" i="8"/>
  <c r="R29" i="8"/>
  <c r="S29" i="8"/>
  <c r="R30" i="8"/>
  <c r="S30" i="8"/>
  <c r="R31" i="8"/>
  <c r="S31" i="8"/>
  <c r="R32" i="8"/>
  <c r="S32" i="8"/>
  <c r="R33" i="8"/>
  <c r="S33" i="8"/>
  <c r="R34" i="8"/>
  <c r="S34" i="8"/>
  <c r="R35" i="8"/>
  <c r="S35" i="8"/>
  <c r="R36" i="8"/>
  <c r="S36" i="8"/>
  <c r="R37" i="8"/>
  <c r="S37" i="8"/>
  <c r="R38" i="8"/>
  <c r="S38" i="8"/>
  <c r="R39" i="8"/>
  <c r="S39" i="8"/>
  <c r="M41" i="8"/>
  <c r="M44" i="8"/>
  <c r="G45" i="8"/>
  <c r="W2" i="6"/>
  <c r="G3" i="6"/>
  <c r="W3" i="6"/>
  <c r="W4" i="6"/>
  <c r="W5" i="6"/>
  <c r="R9" i="6"/>
  <c r="S9" i="6"/>
  <c r="R10" i="6"/>
  <c r="S10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R25" i="6"/>
  <c r="S25" i="6"/>
  <c r="R26" i="6"/>
  <c r="S26" i="6"/>
  <c r="R27" i="6"/>
  <c r="S27" i="6"/>
  <c r="R28" i="6"/>
  <c r="S28" i="6"/>
  <c r="R29" i="6"/>
  <c r="S29" i="6"/>
  <c r="R30" i="6"/>
  <c r="S30" i="6"/>
  <c r="R31" i="6"/>
  <c r="S31" i="6"/>
  <c r="R32" i="6"/>
  <c r="S32" i="6"/>
  <c r="R33" i="6"/>
  <c r="S33" i="6"/>
  <c r="R34" i="6"/>
  <c r="S34" i="6"/>
  <c r="R35" i="6"/>
  <c r="S35" i="6"/>
  <c r="R36" i="6"/>
  <c r="S36" i="6"/>
  <c r="R37" i="6"/>
  <c r="S37" i="6"/>
  <c r="R38" i="6"/>
  <c r="S38" i="6"/>
  <c r="R39" i="6"/>
  <c r="S39" i="6"/>
  <c r="M41" i="6"/>
  <c r="M44" i="6"/>
  <c r="G45" i="6"/>
  <c r="W2" i="14"/>
  <c r="G3" i="14"/>
  <c r="W3" i="14"/>
  <c r="W4" i="14"/>
  <c r="W5" i="14"/>
  <c r="R9" i="14"/>
  <c r="S9" i="14"/>
  <c r="R10" i="14"/>
  <c r="S10" i="14"/>
  <c r="R11" i="14"/>
  <c r="S11" i="14"/>
  <c r="R12" i="14"/>
  <c r="S12" i="14"/>
  <c r="R13" i="14"/>
  <c r="S13" i="14"/>
  <c r="R14" i="14"/>
  <c r="S14" i="14"/>
  <c r="R15" i="14"/>
  <c r="S15" i="14"/>
  <c r="R16" i="14"/>
  <c r="S16" i="14"/>
  <c r="R17" i="14"/>
  <c r="S17" i="14"/>
  <c r="R18" i="14"/>
  <c r="S18" i="14"/>
  <c r="R19" i="14"/>
  <c r="S19" i="14"/>
  <c r="R20" i="14"/>
  <c r="S20" i="14"/>
  <c r="R21" i="14"/>
  <c r="S21" i="14"/>
  <c r="R22" i="14"/>
  <c r="S22" i="14"/>
  <c r="R23" i="14"/>
  <c r="S23" i="14"/>
  <c r="R24" i="14"/>
  <c r="S24" i="14"/>
  <c r="R25" i="14"/>
  <c r="S25" i="14"/>
  <c r="R26" i="14"/>
  <c r="S26" i="14"/>
  <c r="R27" i="14"/>
  <c r="S27" i="14"/>
  <c r="R28" i="14"/>
  <c r="S28" i="14"/>
  <c r="R29" i="14"/>
  <c r="S29" i="14"/>
  <c r="R30" i="14"/>
  <c r="S30" i="14"/>
  <c r="R31" i="14"/>
  <c r="S31" i="14"/>
  <c r="R32" i="14"/>
  <c r="S32" i="14"/>
  <c r="R33" i="14"/>
  <c r="S33" i="14"/>
  <c r="R34" i="14"/>
  <c r="S34" i="14"/>
  <c r="R35" i="14"/>
  <c r="S35" i="14"/>
  <c r="R36" i="14"/>
  <c r="S36" i="14"/>
  <c r="R37" i="14"/>
  <c r="S37" i="14"/>
  <c r="R38" i="14"/>
  <c r="S38" i="14"/>
  <c r="R39" i="14"/>
  <c r="S39" i="14"/>
  <c r="M41" i="14"/>
  <c r="M44" i="14"/>
  <c r="G45" i="14"/>
  <c r="W2" i="13"/>
  <c r="G3" i="13"/>
  <c r="W3" i="13"/>
  <c r="W4" i="13"/>
  <c r="W5" i="13"/>
  <c r="R9" i="13"/>
  <c r="S9" i="13"/>
  <c r="R10" i="13"/>
  <c r="S10" i="13"/>
  <c r="R11" i="13"/>
  <c r="S11" i="13"/>
  <c r="R12" i="13"/>
  <c r="S12" i="13"/>
  <c r="R13" i="13"/>
  <c r="S13" i="13"/>
  <c r="R14" i="13"/>
  <c r="S14" i="13"/>
  <c r="R15" i="13"/>
  <c r="S15" i="13"/>
  <c r="R16" i="13"/>
  <c r="S16" i="13"/>
  <c r="R17" i="13"/>
  <c r="S17" i="13"/>
  <c r="R18" i="13"/>
  <c r="S18" i="13"/>
  <c r="R19" i="13"/>
  <c r="S19" i="13"/>
  <c r="R20" i="13"/>
  <c r="S20" i="13"/>
  <c r="R21" i="13"/>
  <c r="S21" i="13"/>
  <c r="R22" i="13"/>
  <c r="S22" i="13"/>
  <c r="R23" i="13"/>
  <c r="S23" i="13"/>
  <c r="R24" i="13"/>
  <c r="S24" i="13"/>
  <c r="R25" i="13"/>
  <c r="S25" i="13"/>
  <c r="R26" i="13"/>
  <c r="S26" i="13"/>
  <c r="R27" i="13"/>
  <c r="S27" i="13"/>
  <c r="R28" i="13"/>
  <c r="S28" i="13"/>
  <c r="R29" i="13"/>
  <c r="S29" i="13"/>
  <c r="R30" i="13"/>
  <c r="S30" i="13"/>
  <c r="R31" i="13"/>
  <c r="S31" i="13"/>
  <c r="R32" i="13"/>
  <c r="S32" i="13"/>
  <c r="R33" i="13"/>
  <c r="S33" i="13"/>
  <c r="R34" i="13"/>
  <c r="S34" i="13"/>
  <c r="R35" i="13"/>
  <c r="S35" i="13"/>
  <c r="R36" i="13"/>
  <c r="S36" i="13"/>
  <c r="R37" i="13"/>
  <c r="S37" i="13"/>
  <c r="R38" i="13"/>
  <c r="S38" i="13"/>
  <c r="R39" i="13"/>
  <c r="S39" i="13"/>
  <c r="R40" i="13"/>
  <c r="S40" i="13"/>
  <c r="M41" i="13"/>
  <c r="M44" i="13"/>
  <c r="G45" i="13"/>
  <c r="B1" i="16"/>
  <c r="B2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L25" i="16"/>
  <c r="J29" i="16" s="1"/>
  <c r="N29" i="16" s="1"/>
  <c r="M25" i="16"/>
  <c r="N25" i="16"/>
  <c r="O25" i="16"/>
  <c r="M28" i="16"/>
  <c r="N28" i="16" s="1"/>
  <c r="B29" i="16"/>
  <c r="C30" i="16"/>
  <c r="J30" i="16"/>
  <c r="N30" i="16"/>
  <c r="M32" i="16"/>
  <c r="N32" i="16" s="1"/>
  <c r="B35" i="16"/>
  <c r="K45" i="16"/>
  <c r="W2" i="12"/>
  <c r="G3" i="12"/>
  <c r="W3" i="12"/>
  <c r="W4" i="12"/>
  <c r="W5" i="12"/>
  <c r="R9" i="12"/>
  <c r="S9" i="12"/>
  <c r="R10" i="12"/>
  <c r="S10" i="12"/>
  <c r="R11" i="12"/>
  <c r="S11" i="12"/>
  <c r="R12" i="12"/>
  <c r="S12" i="12"/>
  <c r="R13" i="12"/>
  <c r="S13" i="12"/>
  <c r="R14" i="12"/>
  <c r="S14" i="12"/>
  <c r="R15" i="12"/>
  <c r="S15" i="12"/>
  <c r="R16" i="12"/>
  <c r="S16" i="12"/>
  <c r="R17" i="12"/>
  <c r="S17" i="12"/>
  <c r="R18" i="12"/>
  <c r="S18" i="12"/>
  <c r="R19" i="12"/>
  <c r="S19" i="12"/>
  <c r="R20" i="12"/>
  <c r="S20" i="12"/>
  <c r="R21" i="12"/>
  <c r="S21" i="12"/>
  <c r="R22" i="12"/>
  <c r="S22" i="12"/>
  <c r="R23" i="12"/>
  <c r="S23" i="12"/>
  <c r="R24" i="12"/>
  <c r="S24" i="12"/>
  <c r="R25" i="12"/>
  <c r="S25" i="12"/>
  <c r="R26" i="12"/>
  <c r="S26" i="12"/>
  <c r="R27" i="12"/>
  <c r="S27" i="12"/>
  <c r="R28" i="12"/>
  <c r="S28" i="12"/>
  <c r="R29" i="12"/>
  <c r="S29" i="12"/>
  <c r="R30" i="12"/>
  <c r="S30" i="12"/>
  <c r="R31" i="12"/>
  <c r="S31" i="12"/>
  <c r="R32" i="12"/>
  <c r="S32" i="12"/>
  <c r="R33" i="12"/>
  <c r="S33" i="12"/>
  <c r="R34" i="12"/>
  <c r="S34" i="12"/>
  <c r="R35" i="12"/>
  <c r="S35" i="12"/>
  <c r="R36" i="12"/>
  <c r="S36" i="12"/>
  <c r="R37" i="12"/>
  <c r="S37" i="12"/>
  <c r="R38" i="12"/>
  <c r="S38" i="12"/>
  <c r="R39" i="12"/>
  <c r="S39" i="12"/>
  <c r="M41" i="12"/>
  <c r="M45" i="12"/>
  <c r="G45" i="12"/>
  <c r="D11" i="3"/>
  <c r="B18" i="3"/>
  <c r="G23" i="3"/>
  <c r="C33" i="3"/>
  <c r="G33" i="3"/>
  <c r="C35" i="3"/>
  <c r="G35" i="3"/>
  <c r="C37" i="3"/>
  <c r="G37" i="3"/>
  <c r="D39" i="3"/>
  <c r="D41" i="3"/>
  <c r="H41" i="3"/>
  <c r="E43" i="3"/>
  <c r="B45" i="3"/>
  <c r="G50" i="3"/>
  <c r="B10" i="8" l="1"/>
  <c r="C9" i="8"/>
  <c r="C9" i="15"/>
  <c r="B10" i="15"/>
  <c r="B10" i="13"/>
  <c r="B11" i="13" s="1"/>
  <c r="C11" i="13" s="1"/>
  <c r="C9" i="13"/>
  <c r="B10" i="6"/>
  <c r="B11" i="6" s="1"/>
  <c r="C9" i="6"/>
  <c r="C9" i="5"/>
  <c r="B10" i="5"/>
  <c r="C10" i="5" s="1"/>
  <c r="C9" i="7"/>
  <c r="C9" i="11"/>
  <c r="B10" i="11"/>
  <c r="C10" i="6"/>
  <c r="B10" i="12"/>
  <c r="C9" i="12"/>
  <c r="B10" i="10"/>
  <c r="C9" i="10"/>
  <c r="C9" i="9"/>
  <c r="B10" i="9"/>
  <c r="C10" i="8"/>
  <c r="B11" i="8"/>
  <c r="B10" i="14"/>
  <c r="C9" i="14"/>
  <c r="C9" i="4"/>
  <c r="B10" i="4"/>
  <c r="B11" i="7"/>
  <c r="B12" i="7" s="1"/>
  <c r="B11" i="5"/>
  <c r="A60" i="1"/>
  <c r="A27" i="17" s="1"/>
  <c r="F75" i="1"/>
  <c r="F76" i="1" s="1"/>
  <c r="F79" i="1" s="1"/>
  <c r="T5" i="9"/>
  <c r="T4" i="10" s="1"/>
  <c r="T5" i="10" s="1"/>
  <c r="T4" i="11" s="1"/>
  <c r="T5" i="11" s="1"/>
  <c r="T4" i="12" s="1"/>
  <c r="T5" i="12" s="1"/>
  <c r="T4" i="13" s="1"/>
  <c r="T5" i="13" s="1"/>
  <c r="T4" i="14" s="1"/>
  <c r="T5" i="14" s="1"/>
  <c r="T4" i="15" s="1"/>
  <c r="T5" i="15" s="1"/>
  <c r="X7" i="17" s="1"/>
  <c r="R40" i="7"/>
  <c r="R40" i="6"/>
  <c r="T40" i="4"/>
  <c r="F18" i="3"/>
  <c r="F45" i="3" s="1"/>
  <c r="K25" i="16"/>
  <c r="N31" i="16" s="1"/>
  <c r="N33" i="16" s="1"/>
  <c r="R40" i="14"/>
  <c r="S40" i="6"/>
  <c r="S40" i="12"/>
  <c r="R40" i="9"/>
  <c r="D38" i="3"/>
  <c r="B28" i="3"/>
  <c r="R40" i="12"/>
  <c r="C11" i="7"/>
  <c r="S40" i="14"/>
  <c r="S40" i="10"/>
  <c r="R40" i="4"/>
  <c r="R40" i="8"/>
  <c r="S40" i="4"/>
  <c r="R40" i="15"/>
  <c r="T40" i="15"/>
  <c r="Y11" i="17"/>
  <c r="R40" i="10"/>
  <c r="T40" i="13"/>
  <c r="R40" i="5"/>
  <c r="S40" i="15"/>
  <c r="T40" i="12"/>
  <c r="S10" i="17"/>
  <c r="W16" i="17"/>
  <c r="T40" i="14"/>
  <c r="S40" i="11"/>
  <c r="S40" i="7"/>
  <c r="P7" i="17"/>
  <c r="T40" i="6"/>
  <c r="N33" i="1"/>
  <c r="K40" i="1"/>
  <c r="F4" i="4" s="1"/>
  <c r="T40" i="7"/>
  <c r="T40" i="5"/>
  <c r="M43" i="4"/>
  <c r="T40" i="11"/>
  <c r="T40" i="9"/>
  <c r="T40" i="8"/>
  <c r="T55" i="1"/>
  <c r="A65" i="1"/>
  <c r="A32" i="17" s="1"/>
  <c r="A28" i="17"/>
  <c r="F80" i="1" l="1"/>
  <c r="C10" i="13"/>
  <c r="C11" i="6"/>
  <c r="B12" i="6"/>
  <c r="C12" i="6" s="1"/>
  <c r="B11" i="15"/>
  <c r="C10" i="15"/>
  <c r="B12" i="13"/>
  <c r="B13" i="13" s="1"/>
  <c r="B11" i="14"/>
  <c r="C10" i="14"/>
  <c r="B11" i="12"/>
  <c r="C10" i="12"/>
  <c r="B12" i="5"/>
  <c r="C11" i="5"/>
  <c r="B12" i="8"/>
  <c r="C11" i="8"/>
  <c r="B11" i="10"/>
  <c r="C10" i="10"/>
  <c r="C10" i="4"/>
  <c r="B11" i="4"/>
  <c r="B11" i="9"/>
  <c r="C10" i="9"/>
  <c r="B11" i="11"/>
  <c r="C10" i="11"/>
  <c r="F7" i="17"/>
  <c r="Q33" i="1"/>
  <c r="N40" i="1"/>
  <c r="F4" i="5" s="1"/>
  <c r="B13" i="7"/>
  <c r="C12" i="7"/>
  <c r="W55" i="1"/>
  <c r="F5" i="13"/>
  <c r="B13" i="6"/>
  <c r="F83" i="1"/>
  <c r="F86" i="1" s="1"/>
  <c r="A48" i="1" s="1"/>
  <c r="C12" i="13" l="1"/>
  <c r="C11" i="15"/>
  <c r="B12" i="15"/>
  <c r="C12" i="8"/>
  <c r="B13" i="8"/>
  <c r="C11" i="9"/>
  <c r="B12" i="9"/>
  <c r="C12" i="5"/>
  <c r="B13" i="5"/>
  <c r="B12" i="4"/>
  <c r="C11" i="4"/>
  <c r="C11" i="12"/>
  <c r="B12" i="12"/>
  <c r="C11" i="10"/>
  <c r="B12" i="10"/>
  <c r="C11" i="14"/>
  <c r="B12" i="14"/>
  <c r="B12" i="11"/>
  <c r="C11" i="11"/>
  <c r="A56" i="1"/>
  <c r="A23" i="17" s="1"/>
  <c r="A49" i="1"/>
  <c r="A16" i="17" s="1"/>
  <c r="A54" i="1"/>
  <c r="A53" i="1"/>
  <c r="A20" i="17" s="1"/>
  <c r="A46" i="1"/>
  <c r="A13" i="17" s="1"/>
  <c r="A15" i="17"/>
  <c r="A52" i="1"/>
  <c r="A19" i="17" s="1"/>
  <c r="B14" i="6"/>
  <c r="C13" i="6"/>
  <c r="T33" i="1"/>
  <c r="Q40" i="1"/>
  <c r="F4" i="6" s="1"/>
  <c r="B14" i="7"/>
  <c r="V13" i="7"/>
  <c r="C13" i="7"/>
  <c r="E13" i="7"/>
  <c r="B14" i="13"/>
  <c r="D13" i="13"/>
  <c r="C13" i="13"/>
  <c r="E13" i="13"/>
  <c r="V13" i="13"/>
  <c r="Z55" i="1"/>
  <c r="F5" i="15" s="1"/>
  <c r="F5" i="14"/>
  <c r="B13" i="15" l="1"/>
  <c r="C12" i="15"/>
  <c r="B13" i="11"/>
  <c r="C12" i="11"/>
  <c r="B13" i="4"/>
  <c r="C12" i="4"/>
  <c r="B13" i="14"/>
  <c r="C12" i="14"/>
  <c r="B14" i="5"/>
  <c r="C13" i="5"/>
  <c r="B13" i="10"/>
  <c r="C12" i="10"/>
  <c r="B13" i="9"/>
  <c r="C12" i="9"/>
  <c r="E13" i="6"/>
  <c r="C12" i="12"/>
  <c r="B13" i="12"/>
  <c r="C13" i="8"/>
  <c r="B14" i="8"/>
  <c r="B15" i="6"/>
  <c r="D14" i="6"/>
  <c r="V14" i="6"/>
  <c r="C14" i="6"/>
  <c r="E14" i="6"/>
  <c r="D9" i="13"/>
  <c r="A21" i="17"/>
  <c r="D9" i="12"/>
  <c r="D11" i="4"/>
  <c r="D9" i="9"/>
  <c r="D9" i="11"/>
  <c r="D9" i="4"/>
  <c r="D10" i="4"/>
  <c r="D10" i="10"/>
  <c r="D9" i="7"/>
  <c r="D9" i="6"/>
  <c r="D12" i="4"/>
  <c r="E9" i="7"/>
  <c r="V10" i="7"/>
  <c r="D9" i="10"/>
  <c r="D9" i="8"/>
  <c r="D11" i="5"/>
  <c r="D10" i="12"/>
  <c r="D10" i="8"/>
  <c r="D11" i="8"/>
  <c r="D9" i="5"/>
  <c r="E10" i="7"/>
  <c r="E10" i="11"/>
  <c r="E9" i="15"/>
  <c r="V9" i="5"/>
  <c r="V10" i="15"/>
  <c r="E10" i="5"/>
  <c r="V11" i="5"/>
  <c r="E9" i="11"/>
  <c r="V10" i="11"/>
  <c r="E9" i="9"/>
  <c r="V10" i="9"/>
  <c r="E10" i="8"/>
  <c r="V11" i="8"/>
  <c r="V9" i="7"/>
  <c r="E11" i="11"/>
  <c r="V9" i="15"/>
  <c r="E12" i="5"/>
  <c r="E13" i="4"/>
  <c r="V9" i="11"/>
  <c r="E10" i="15"/>
  <c r="V11" i="11"/>
  <c r="E9" i="10"/>
  <c r="V10" i="10"/>
  <c r="V9" i="8"/>
  <c r="E11" i="6"/>
  <c r="V10" i="4"/>
  <c r="E11" i="10"/>
  <c r="V11" i="9"/>
  <c r="E12" i="8"/>
  <c r="V11" i="15"/>
  <c r="V10" i="5"/>
  <c r="V12" i="5"/>
  <c r="E9" i="4"/>
  <c r="E11" i="4"/>
  <c r="V12" i="4"/>
  <c r="E9" i="5"/>
  <c r="E11" i="5"/>
  <c r="V11" i="4"/>
  <c r="V9" i="14"/>
  <c r="V9" i="12"/>
  <c r="E11" i="9"/>
  <c r="V10" i="8"/>
  <c r="V12" i="8"/>
  <c r="V11" i="14"/>
  <c r="E11" i="13"/>
  <c r="E10" i="4"/>
  <c r="E12" i="4"/>
  <c r="V9" i="10"/>
  <c r="V11" i="10"/>
  <c r="V9" i="6"/>
  <c r="E10" i="14"/>
  <c r="V9" i="13"/>
  <c r="E9" i="12"/>
  <c r="V10" i="12"/>
  <c r="V9" i="9"/>
  <c r="E9" i="8"/>
  <c r="E11" i="8"/>
  <c r="V11" i="6"/>
  <c r="E11" i="14"/>
  <c r="E10" i="10"/>
  <c r="E10" i="6"/>
  <c r="E10" i="13"/>
  <c r="V11" i="13"/>
  <c r="E11" i="12"/>
  <c r="E10" i="9"/>
  <c r="E9" i="14"/>
  <c r="V10" i="14"/>
  <c r="E9" i="6"/>
  <c r="E9" i="13"/>
  <c r="V11" i="12"/>
  <c r="V10" i="6"/>
  <c r="V10" i="13"/>
  <c r="E10" i="12"/>
  <c r="E11" i="15"/>
  <c r="D9" i="15"/>
  <c r="V13" i="4"/>
  <c r="D12" i="5"/>
  <c r="D9" i="14"/>
  <c r="D11" i="12"/>
  <c r="D10" i="15"/>
  <c r="D10" i="7"/>
  <c r="D12" i="8"/>
  <c r="D11" i="7"/>
  <c r="D11" i="13"/>
  <c r="D11" i="6"/>
  <c r="D13" i="4"/>
  <c r="V9" i="4"/>
  <c r="D11" i="11"/>
  <c r="D11" i="9"/>
  <c r="D10" i="11"/>
  <c r="D10" i="14"/>
  <c r="D10" i="6"/>
  <c r="D10" i="9"/>
  <c r="D11" i="14"/>
  <c r="E11" i="7"/>
  <c r="V11" i="7"/>
  <c r="D11" i="15"/>
  <c r="D10" i="5"/>
  <c r="V12" i="10"/>
  <c r="V12" i="13"/>
  <c r="V12" i="6"/>
  <c r="E12" i="9"/>
  <c r="V13" i="8"/>
  <c r="E13" i="8"/>
  <c r="D12" i="10"/>
  <c r="D12" i="13"/>
  <c r="D12" i="11"/>
  <c r="E12" i="10"/>
  <c r="V12" i="15"/>
  <c r="E12" i="13"/>
  <c r="D12" i="9"/>
  <c r="D12" i="14"/>
  <c r="E12" i="14"/>
  <c r="V13" i="5"/>
  <c r="V12" i="12"/>
  <c r="E12" i="11"/>
  <c r="D13" i="8"/>
  <c r="E12" i="15"/>
  <c r="V12" i="7"/>
  <c r="E12" i="12"/>
  <c r="E12" i="6"/>
  <c r="E13" i="5"/>
  <c r="D12" i="6"/>
  <c r="V12" i="11"/>
  <c r="V12" i="14"/>
  <c r="D12" i="7"/>
  <c r="D13" i="5"/>
  <c r="V12" i="9"/>
  <c r="E12" i="7"/>
  <c r="E14" i="5"/>
  <c r="E14" i="8"/>
  <c r="D13" i="7"/>
  <c r="V13" i="10"/>
  <c r="V13" i="6"/>
  <c r="B15" i="13"/>
  <c r="D14" i="13"/>
  <c r="C14" i="13"/>
  <c r="V14" i="13"/>
  <c r="E14" i="13"/>
  <c r="D14" i="5"/>
  <c r="V14" i="8"/>
  <c r="B15" i="7"/>
  <c r="D14" i="7"/>
  <c r="C14" i="7"/>
  <c r="E14" i="7"/>
  <c r="V14" i="7"/>
  <c r="T40" i="1"/>
  <c r="F4" i="7" s="1"/>
  <c r="W33" i="1"/>
  <c r="E13" i="12"/>
  <c r="D13" i="6"/>
  <c r="B14" i="15" l="1"/>
  <c r="D13" i="15"/>
  <c r="C13" i="15"/>
  <c r="E13" i="15"/>
  <c r="V13" i="15"/>
  <c r="B14" i="12"/>
  <c r="V13" i="12"/>
  <c r="D13" i="12"/>
  <c r="C13" i="12"/>
  <c r="V14" i="5"/>
  <c r="C14" i="5"/>
  <c r="B15" i="5"/>
  <c r="E13" i="14"/>
  <c r="V13" i="14"/>
  <c r="B14" i="14"/>
  <c r="C13" i="14"/>
  <c r="D13" i="14"/>
  <c r="B14" i="9"/>
  <c r="C13" i="9"/>
  <c r="V13" i="9"/>
  <c r="E13" i="9"/>
  <c r="C13" i="4"/>
  <c r="B14" i="4"/>
  <c r="D14" i="8"/>
  <c r="C14" i="8"/>
  <c r="B15" i="8"/>
  <c r="C13" i="10"/>
  <c r="B14" i="10"/>
  <c r="D13" i="10"/>
  <c r="E13" i="10"/>
  <c r="B14" i="11"/>
  <c r="D13" i="11"/>
  <c r="V13" i="11"/>
  <c r="C13" i="11"/>
  <c r="E13" i="11"/>
  <c r="B16" i="13"/>
  <c r="D15" i="13"/>
  <c r="E15" i="13"/>
  <c r="C15" i="13"/>
  <c r="V15" i="13"/>
  <c r="B16" i="6"/>
  <c r="D15" i="6"/>
  <c r="E15" i="6"/>
  <c r="V15" i="6"/>
  <c r="C15" i="6"/>
  <c r="B16" i="7"/>
  <c r="V15" i="7"/>
  <c r="C15" i="7"/>
  <c r="D15" i="7"/>
  <c r="E15" i="7"/>
  <c r="W40" i="1"/>
  <c r="F4" i="8" s="1"/>
  <c r="Z33" i="1"/>
  <c r="B15" i="15" l="1"/>
  <c r="C14" i="15"/>
  <c r="D14" i="15"/>
  <c r="V14" i="15"/>
  <c r="E14" i="15"/>
  <c r="B15" i="10"/>
  <c r="D14" i="10"/>
  <c r="E14" i="10"/>
  <c r="V14" i="10"/>
  <c r="C14" i="10"/>
  <c r="B16" i="5"/>
  <c r="V15" i="5"/>
  <c r="D15" i="5"/>
  <c r="E15" i="5"/>
  <c r="C15" i="5"/>
  <c r="E15" i="8"/>
  <c r="V15" i="8"/>
  <c r="D15" i="8"/>
  <c r="B16" i="8"/>
  <c r="C15" i="8"/>
  <c r="D14" i="9"/>
  <c r="C14" i="9"/>
  <c r="V14" i="9"/>
  <c r="E14" i="9"/>
  <c r="B15" i="9"/>
  <c r="B15" i="11"/>
  <c r="D14" i="11"/>
  <c r="E14" i="11"/>
  <c r="C14" i="11"/>
  <c r="V14" i="11"/>
  <c r="B15" i="4"/>
  <c r="C14" i="4"/>
  <c r="D14" i="4"/>
  <c r="V14" i="4"/>
  <c r="E14" i="4"/>
  <c r="B15" i="14"/>
  <c r="E14" i="14"/>
  <c r="C14" i="14"/>
  <c r="V14" i="14"/>
  <c r="C14" i="12"/>
  <c r="E14" i="12"/>
  <c r="V14" i="12"/>
  <c r="B15" i="12"/>
  <c r="D14" i="12"/>
  <c r="B17" i="7"/>
  <c r="D16" i="7"/>
  <c r="C16" i="7"/>
  <c r="V16" i="7"/>
  <c r="E16" i="7"/>
  <c r="B17" i="6"/>
  <c r="D16" i="6"/>
  <c r="C16" i="6"/>
  <c r="E16" i="6"/>
  <c r="V16" i="6"/>
  <c r="K46" i="1"/>
  <c r="Z40" i="1"/>
  <c r="F4" i="9"/>
  <c r="D13" i="9"/>
  <c r="B17" i="13"/>
  <c r="D16" i="13"/>
  <c r="V16" i="13"/>
  <c r="E16" i="13"/>
  <c r="C16" i="13"/>
  <c r="D15" i="15" l="1"/>
  <c r="B16" i="15"/>
  <c r="C15" i="15"/>
  <c r="V15" i="15"/>
  <c r="E15" i="15"/>
  <c r="D15" i="14"/>
  <c r="B16" i="14"/>
  <c r="V15" i="14"/>
  <c r="E15" i="14"/>
  <c r="C15" i="14"/>
  <c r="C15" i="12"/>
  <c r="B16" i="12"/>
  <c r="V15" i="12"/>
  <c r="D15" i="12"/>
  <c r="E15" i="12"/>
  <c r="V16" i="8"/>
  <c r="C16" i="8"/>
  <c r="E16" i="8"/>
  <c r="B17" i="8"/>
  <c r="D16" i="8"/>
  <c r="E16" i="5"/>
  <c r="V16" i="5"/>
  <c r="C16" i="5"/>
  <c r="D16" i="5"/>
  <c r="B17" i="5"/>
  <c r="E15" i="11"/>
  <c r="C15" i="11"/>
  <c r="B16" i="11"/>
  <c r="V15" i="11"/>
  <c r="B16" i="9"/>
  <c r="D15" i="9"/>
  <c r="E15" i="9"/>
  <c r="C15" i="9"/>
  <c r="V15" i="9"/>
  <c r="D15" i="4"/>
  <c r="C15" i="4"/>
  <c r="E15" i="4"/>
  <c r="V15" i="4"/>
  <c r="B16" i="4"/>
  <c r="V15" i="10"/>
  <c r="C15" i="10"/>
  <c r="E15" i="10"/>
  <c r="D15" i="10"/>
  <c r="B16" i="10"/>
  <c r="E17" i="7"/>
  <c r="B18" i="7"/>
  <c r="D17" i="7"/>
  <c r="V17" i="7"/>
  <c r="C17" i="7"/>
  <c r="N46" i="1"/>
  <c r="K53" i="1"/>
  <c r="F4" i="10" s="1"/>
  <c r="D11" i="10"/>
  <c r="B18" i="13"/>
  <c r="C17" i="13"/>
  <c r="E17" i="13"/>
  <c r="V17" i="13"/>
  <c r="B18" i="6"/>
  <c r="C17" i="6"/>
  <c r="D17" i="6"/>
  <c r="E17" i="6"/>
  <c r="V17" i="6"/>
  <c r="E16" i="15" l="1"/>
  <c r="V16" i="15"/>
  <c r="C16" i="15"/>
  <c r="D16" i="15"/>
  <c r="B17" i="15"/>
  <c r="D16" i="10"/>
  <c r="C16" i="10"/>
  <c r="E16" i="10"/>
  <c r="V16" i="10"/>
  <c r="B17" i="10"/>
  <c r="E16" i="11"/>
  <c r="B17" i="11"/>
  <c r="D16" i="11"/>
  <c r="V16" i="11"/>
  <c r="C16" i="11"/>
  <c r="E16" i="12"/>
  <c r="C16" i="12"/>
  <c r="B17" i="12"/>
  <c r="D16" i="12"/>
  <c r="V16" i="12"/>
  <c r="V17" i="8"/>
  <c r="D17" i="8"/>
  <c r="B18" i="8"/>
  <c r="E17" i="8"/>
  <c r="C17" i="8"/>
  <c r="C17" i="5"/>
  <c r="E17" i="5"/>
  <c r="V17" i="5"/>
  <c r="D17" i="5"/>
  <c r="B18" i="5"/>
  <c r="D16" i="4"/>
  <c r="C16" i="4"/>
  <c r="V16" i="4"/>
  <c r="E16" i="4"/>
  <c r="B17" i="4"/>
  <c r="C16" i="14"/>
  <c r="B17" i="14"/>
  <c r="D16" i="14"/>
  <c r="V16" i="14"/>
  <c r="E16" i="14"/>
  <c r="C16" i="9"/>
  <c r="E16" i="9"/>
  <c r="B17" i="9"/>
  <c r="D16" i="9"/>
  <c r="V16" i="9"/>
  <c r="B19" i="6"/>
  <c r="D18" i="6"/>
  <c r="E18" i="6"/>
  <c r="C18" i="6"/>
  <c r="V18" i="6"/>
  <c r="B19" i="7"/>
  <c r="D18" i="7"/>
  <c r="V18" i="7"/>
  <c r="E18" i="7"/>
  <c r="C18" i="7"/>
  <c r="Q46" i="1"/>
  <c r="N53" i="1"/>
  <c r="F4" i="11" s="1"/>
  <c r="D15" i="11"/>
  <c r="B19" i="13"/>
  <c r="D18" i="13"/>
  <c r="C18" i="13"/>
  <c r="E18" i="13"/>
  <c r="V18" i="13"/>
  <c r="E17" i="15" l="1"/>
  <c r="C17" i="15"/>
  <c r="B18" i="15"/>
  <c r="D17" i="15"/>
  <c r="V17" i="15"/>
  <c r="D17" i="14"/>
  <c r="V17" i="14"/>
  <c r="E17" i="14"/>
  <c r="C17" i="14"/>
  <c r="B18" i="14"/>
  <c r="B18" i="4"/>
  <c r="D17" i="4"/>
  <c r="C17" i="4"/>
  <c r="V17" i="4"/>
  <c r="E17" i="4"/>
  <c r="D17" i="11"/>
  <c r="C17" i="11"/>
  <c r="B18" i="11"/>
  <c r="V17" i="11"/>
  <c r="E17" i="11"/>
  <c r="D17" i="12"/>
  <c r="B18" i="12"/>
  <c r="V17" i="12"/>
  <c r="C17" i="12"/>
  <c r="E17" i="12"/>
  <c r="C17" i="10"/>
  <c r="V17" i="10"/>
  <c r="E17" i="10"/>
  <c r="D17" i="10"/>
  <c r="B18" i="10"/>
  <c r="B18" i="9"/>
  <c r="E17" i="9"/>
  <c r="D17" i="9"/>
  <c r="V17" i="9"/>
  <c r="C17" i="9"/>
  <c r="B19" i="8"/>
  <c r="D18" i="8"/>
  <c r="E18" i="8"/>
  <c r="C18" i="8"/>
  <c r="V18" i="8"/>
  <c r="D18" i="5"/>
  <c r="E18" i="5"/>
  <c r="V18" i="5"/>
  <c r="C18" i="5"/>
  <c r="B19" i="5"/>
  <c r="T46" i="1"/>
  <c r="Q53" i="1"/>
  <c r="W40" i="12" s="1"/>
  <c r="D12" i="12"/>
  <c r="B20" i="6"/>
  <c r="D19" i="6"/>
  <c r="V19" i="6"/>
  <c r="C19" i="6"/>
  <c r="E19" i="6"/>
  <c r="D19" i="7"/>
  <c r="C19" i="7"/>
  <c r="E19" i="7"/>
  <c r="V19" i="7"/>
  <c r="B20" i="7"/>
  <c r="D19" i="13"/>
  <c r="B20" i="13"/>
  <c r="V19" i="13"/>
  <c r="E19" i="13"/>
  <c r="C19" i="13"/>
  <c r="D18" i="15" l="1"/>
  <c r="C18" i="15"/>
  <c r="B19" i="15"/>
  <c r="V18" i="15"/>
  <c r="E18" i="15"/>
  <c r="B20" i="5"/>
  <c r="D19" i="5"/>
  <c r="E19" i="5"/>
  <c r="C19" i="5"/>
  <c r="V19" i="5"/>
  <c r="V19" i="8"/>
  <c r="B20" i="8"/>
  <c r="E19" i="8"/>
  <c r="D19" i="8"/>
  <c r="C19" i="8"/>
  <c r="B19" i="4"/>
  <c r="C18" i="4"/>
  <c r="D18" i="4"/>
  <c r="E18" i="4"/>
  <c r="V18" i="4"/>
  <c r="V18" i="11"/>
  <c r="D18" i="11"/>
  <c r="B19" i="11"/>
  <c r="E18" i="11"/>
  <c r="C18" i="11"/>
  <c r="D18" i="14"/>
  <c r="V18" i="14"/>
  <c r="B19" i="14"/>
  <c r="C18" i="14"/>
  <c r="E18" i="14"/>
  <c r="B19" i="9"/>
  <c r="C18" i="9"/>
  <c r="D18" i="9"/>
  <c r="V18" i="9"/>
  <c r="E18" i="9"/>
  <c r="C18" i="10"/>
  <c r="V18" i="10"/>
  <c r="B19" i="10"/>
  <c r="D18" i="10"/>
  <c r="E18" i="10"/>
  <c r="V18" i="12"/>
  <c r="B19" i="12"/>
  <c r="C18" i="12"/>
  <c r="E18" i="12"/>
  <c r="D18" i="12"/>
  <c r="B21" i="7"/>
  <c r="V20" i="7"/>
  <c r="D20" i="7"/>
  <c r="C20" i="7"/>
  <c r="E20" i="7"/>
  <c r="F4" i="12"/>
  <c r="W46" i="1"/>
  <c r="T53" i="1"/>
  <c r="F4" i="13" s="1"/>
  <c r="D10" i="13"/>
  <c r="D17" i="13"/>
  <c r="B21" i="13"/>
  <c r="D20" i="13"/>
  <c r="C20" i="13"/>
  <c r="E20" i="13"/>
  <c r="V20" i="13"/>
  <c r="B21" i="6"/>
  <c r="D20" i="6"/>
  <c r="E20" i="6"/>
  <c r="C20" i="6"/>
  <c r="V20" i="6"/>
  <c r="B20" i="15" l="1"/>
  <c r="E19" i="15"/>
  <c r="C19" i="15"/>
  <c r="V19" i="15"/>
  <c r="E19" i="10"/>
  <c r="V19" i="10"/>
  <c r="D19" i="10"/>
  <c r="B20" i="10"/>
  <c r="C19" i="10"/>
  <c r="D19" i="14"/>
  <c r="B20" i="14"/>
  <c r="C19" i="14"/>
  <c r="E19" i="14"/>
  <c r="V19" i="14"/>
  <c r="V20" i="8"/>
  <c r="E20" i="8"/>
  <c r="C20" i="8"/>
  <c r="B21" i="8"/>
  <c r="D20" i="8"/>
  <c r="D19" i="12"/>
  <c r="B20" i="12"/>
  <c r="C19" i="12"/>
  <c r="E19" i="12"/>
  <c r="V19" i="12"/>
  <c r="E19" i="4"/>
  <c r="D19" i="4"/>
  <c r="B20" i="4"/>
  <c r="V19" i="4"/>
  <c r="C19" i="4"/>
  <c r="B20" i="9"/>
  <c r="E19" i="9"/>
  <c r="V19" i="9"/>
  <c r="C19" i="9"/>
  <c r="D19" i="9"/>
  <c r="D19" i="11"/>
  <c r="C19" i="11"/>
  <c r="B20" i="11"/>
  <c r="E19" i="11"/>
  <c r="V19" i="11"/>
  <c r="B21" i="5"/>
  <c r="D20" i="5"/>
  <c r="C20" i="5"/>
  <c r="V20" i="5"/>
  <c r="E20" i="5"/>
  <c r="B22" i="13"/>
  <c r="D21" i="13"/>
  <c r="C21" i="13"/>
  <c r="V21" i="13"/>
  <c r="E21" i="13"/>
  <c r="B22" i="6"/>
  <c r="D21" i="6"/>
  <c r="V21" i="6"/>
  <c r="C21" i="6"/>
  <c r="E21" i="6"/>
  <c r="B22" i="7"/>
  <c r="D21" i="7"/>
  <c r="C21" i="7"/>
  <c r="E21" i="7"/>
  <c r="V21" i="7"/>
  <c r="Z46" i="1"/>
  <c r="W53" i="1"/>
  <c r="F4" i="14" s="1"/>
  <c r="D14" i="14"/>
  <c r="E20" i="15" l="1"/>
  <c r="C20" i="15"/>
  <c r="D20" i="15"/>
  <c r="V20" i="15"/>
  <c r="B21" i="15"/>
  <c r="E20" i="4"/>
  <c r="C20" i="4"/>
  <c r="V20" i="4"/>
  <c r="B21" i="4"/>
  <c r="D20" i="4"/>
  <c r="B21" i="14"/>
  <c r="D20" i="14"/>
  <c r="E20" i="14"/>
  <c r="V20" i="14"/>
  <c r="C20" i="14"/>
  <c r="D21" i="8"/>
  <c r="B22" i="8"/>
  <c r="E21" i="8"/>
  <c r="C21" i="8"/>
  <c r="V21" i="8"/>
  <c r="E20" i="10"/>
  <c r="V20" i="10"/>
  <c r="B21" i="10"/>
  <c r="D20" i="10"/>
  <c r="C20" i="10"/>
  <c r="D21" i="5"/>
  <c r="V21" i="5"/>
  <c r="E21" i="5"/>
  <c r="C21" i="5"/>
  <c r="B22" i="5"/>
  <c r="E20" i="9"/>
  <c r="B21" i="9"/>
  <c r="D20" i="9"/>
  <c r="C20" i="9"/>
  <c r="V20" i="9"/>
  <c r="D20" i="11"/>
  <c r="V20" i="11"/>
  <c r="B21" i="11"/>
  <c r="E20" i="11"/>
  <c r="C20" i="11"/>
  <c r="B21" i="12"/>
  <c r="D20" i="12"/>
  <c r="C20" i="12"/>
  <c r="E20" i="12"/>
  <c r="V20" i="12"/>
  <c r="V22" i="7"/>
  <c r="D22" i="7"/>
  <c r="B23" i="7"/>
  <c r="C22" i="7"/>
  <c r="E22" i="7"/>
  <c r="V22" i="6"/>
  <c r="B23" i="6"/>
  <c r="D22" i="6"/>
  <c r="C22" i="6"/>
  <c r="E22" i="6"/>
  <c r="Z53" i="1"/>
  <c r="F4" i="15"/>
  <c r="D12" i="15"/>
  <c r="D19" i="15"/>
  <c r="V22" i="13"/>
  <c r="B23" i="13"/>
  <c r="D22" i="13"/>
  <c r="C22" i="13"/>
  <c r="E22" i="13"/>
  <c r="C21" i="15" l="1"/>
  <c r="V21" i="15"/>
  <c r="B22" i="15"/>
  <c r="E21" i="15"/>
  <c r="D21" i="15"/>
  <c r="D21" i="14"/>
  <c r="C21" i="14"/>
  <c r="B22" i="14"/>
  <c r="E21" i="14"/>
  <c r="V21" i="14"/>
  <c r="V21" i="12"/>
  <c r="E21" i="12"/>
  <c r="D21" i="12"/>
  <c r="C21" i="12"/>
  <c r="B22" i="12"/>
  <c r="E22" i="8"/>
  <c r="V22" i="8"/>
  <c r="D22" i="8"/>
  <c r="B23" i="8"/>
  <c r="C22" i="8"/>
  <c r="D21" i="4"/>
  <c r="V21" i="4"/>
  <c r="B22" i="4"/>
  <c r="C21" i="4"/>
  <c r="E21" i="4"/>
  <c r="V21" i="9"/>
  <c r="C21" i="9"/>
  <c r="B22" i="9"/>
  <c r="D21" i="9"/>
  <c r="E21" i="9"/>
  <c r="C21" i="10"/>
  <c r="B22" i="10"/>
  <c r="D21" i="10"/>
  <c r="V21" i="10"/>
  <c r="E21" i="10"/>
  <c r="B22" i="11"/>
  <c r="D21" i="11"/>
  <c r="C21" i="11"/>
  <c r="V21" i="11"/>
  <c r="E21" i="11"/>
  <c r="D22" i="5"/>
  <c r="C22" i="5"/>
  <c r="V22" i="5"/>
  <c r="B23" i="5"/>
  <c r="E22" i="5"/>
  <c r="D23" i="7"/>
  <c r="V23" i="7"/>
  <c r="B24" i="7"/>
  <c r="E23" i="7"/>
  <c r="C23" i="7"/>
  <c r="B24" i="13"/>
  <c r="D23" i="13"/>
  <c r="E23" i="13"/>
  <c r="V23" i="13"/>
  <c r="C23" i="13"/>
  <c r="D23" i="6"/>
  <c r="B24" i="6"/>
  <c r="C23" i="6"/>
  <c r="E23" i="6"/>
  <c r="V23" i="6"/>
  <c r="V22" i="15" l="1"/>
  <c r="C22" i="15"/>
  <c r="B23" i="15"/>
  <c r="D22" i="15"/>
  <c r="E22" i="15"/>
  <c r="E23" i="5"/>
  <c r="C23" i="5"/>
  <c r="D23" i="5"/>
  <c r="V23" i="5"/>
  <c r="B24" i="5"/>
  <c r="B23" i="11"/>
  <c r="E22" i="11"/>
  <c r="C22" i="11"/>
  <c r="V22" i="11"/>
  <c r="D22" i="11"/>
  <c r="V22" i="9"/>
  <c r="E22" i="9"/>
  <c r="D22" i="9"/>
  <c r="B23" i="9"/>
  <c r="C22" i="9"/>
  <c r="B24" i="8"/>
  <c r="D23" i="8"/>
  <c r="E23" i="8"/>
  <c r="V23" i="8"/>
  <c r="C23" i="8"/>
  <c r="D22" i="10"/>
  <c r="B23" i="10"/>
  <c r="V22" i="10"/>
  <c r="E22" i="10"/>
  <c r="C22" i="10"/>
  <c r="C22" i="14"/>
  <c r="D22" i="14"/>
  <c r="V22" i="14"/>
  <c r="B23" i="14"/>
  <c r="E22" i="14"/>
  <c r="B23" i="4"/>
  <c r="E22" i="4"/>
  <c r="C22" i="4"/>
  <c r="V22" i="4"/>
  <c r="D22" i="4"/>
  <c r="V22" i="12"/>
  <c r="C22" i="12"/>
  <c r="D22" i="12"/>
  <c r="B23" i="12"/>
  <c r="E22" i="12"/>
  <c r="B25" i="13"/>
  <c r="D24" i="13"/>
  <c r="V24" i="13"/>
  <c r="C24" i="13"/>
  <c r="E24" i="13"/>
  <c r="D24" i="6"/>
  <c r="B25" i="6"/>
  <c r="V24" i="6"/>
  <c r="E24" i="6"/>
  <c r="C24" i="6"/>
  <c r="D24" i="7"/>
  <c r="B25" i="7"/>
  <c r="C24" i="7"/>
  <c r="E24" i="7"/>
  <c r="V24" i="7"/>
  <c r="C23" i="15" l="1"/>
  <c r="B24" i="15"/>
  <c r="D23" i="15"/>
  <c r="E23" i="15"/>
  <c r="V23" i="15"/>
  <c r="D24" i="8"/>
  <c r="B25" i="8"/>
  <c r="V24" i="8"/>
  <c r="E24" i="8"/>
  <c r="C24" i="8"/>
  <c r="C23" i="4"/>
  <c r="D23" i="4"/>
  <c r="E23" i="4"/>
  <c r="B24" i="4"/>
  <c r="V23" i="4"/>
  <c r="V23" i="10"/>
  <c r="C23" i="10"/>
  <c r="E23" i="10"/>
  <c r="D23" i="10"/>
  <c r="B24" i="10"/>
  <c r="E23" i="9"/>
  <c r="V23" i="9"/>
  <c r="C23" i="9"/>
  <c r="B24" i="9"/>
  <c r="D23" i="9"/>
  <c r="B24" i="11"/>
  <c r="D23" i="11"/>
  <c r="E23" i="11"/>
  <c r="C23" i="11"/>
  <c r="V23" i="11"/>
  <c r="B24" i="14"/>
  <c r="D23" i="14"/>
  <c r="C23" i="14"/>
  <c r="E23" i="14"/>
  <c r="V23" i="14"/>
  <c r="V24" i="5"/>
  <c r="D24" i="5"/>
  <c r="B25" i="5"/>
  <c r="C24" i="5"/>
  <c r="E24" i="5"/>
  <c r="D23" i="12"/>
  <c r="V23" i="12"/>
  <c r="C23" i="12"/>
  <c r="E23" i="12"/>
  <c r="B24" i="12"/>
  <c r="D25" i="13"/>
  <c r="B26" i="13"/>
  <c r="C25" i="13"/>
  <c r="E25" i="13"/>
  <c r="V25" i="13"/>
  <c r="D25" i="7"/>
  <c r="V25" i="7"/>
  <c r="B26" i="7"/>
  <c r="C25" i="7"/>
  <c r="E25" i="7"/>
  <c r="D25" i="6"/>
  <c r="B26" i="6"/>
  <c r="E25" i="6"/>
  <c r="C25" i="6"/>
  <c r="V25" i="6"/>
  <c r="D24" i="15" l="1"/>
  <c r="C24" i="15"/>
  <c r="E24" i="15"/>
  <c r="B25" i="15"/>
  <c r="V24" i="15"/>
  <c r="V24" i="12"/>
  <c r="B25" i="12"/>
  <c r="D24" i="12"/>
  <c r="C24" i="12"/>
  <c r="E24" i="12"/>
  <c r="C24" i="10"/>
  <c r="V24" i="10"/>
  <c r="E24" i="10"/>
  <c r="B25" i="10"/>
  <c r="D24" i="10"/>
  <c r="C24" i="11"/>
  <c r="E24" i="11"/>
  <c r="B25" i="11"/>
  <c r="D24" i="11"/>
  <c r="V24" i="11"/>
  <c r="D24" i="9"/>
  <c r="B25" i="9"/>
  <c r="E24" i="9"/>
  <c r="V24" i="9"/>
  <c r="C24" i="9"/>
  <c r="D24" i="14"/>
  <c r="B25" i="14"/>
  <c r="C24" i="14"/>
  <c r="V24" i="14"/>
  <c r="E24" i="14"/>
  <c r="E25" i="8"/>
  <c r="D25" i="8"/>
  <c r="B26" i="8"/>
  <c r="V25" i="8"/>
  <c r="C25" i="8"/>
  <c r="E25" i="5"/>
  <c r="V25" i="5"/>
  <c r="C25" i="5"/>
  <c r="D25" i="5"/>
  <c r="B26" i="5"/>
  <c r="B25" i="4"/>
  <c r="D24" i="4"/>
  <c r="E24" i="4"/>
  <c r="V24" i="4"/>
  <c r="C24" i="4"/>
  <c r="D26" i="13"/>
  <c r="B27" i="13"/>
  <c r="V26" i="13"/>
  <c r="C26" i="13"/>
  <c r="E26" i="13"/>
  <c r="D26" i="7"/>
  <c r="C26" i="7"/>
  <c r="E26" i="7"/>
  <c r="B27" i="7"/>
  <c r="V26" i="7"/>
  <c r="D26" i="6"/>
  <c r="B27" i="6"/>
  <c r="V26" i="6"/>
  <c r="C26" i="6"/>
  <c r="E26" i="6"/>
  <c r="E25" i="15" l="1"/>
  <c r="C25" i="15"/>
  <c r="D25" i="15"/>
  <c r="V25" i="15"/>
  <c r="B26" i="15"/>
  <c r="D25" i="14"/>
  <c r="B26" i="14"/>
  <c r="C25" i="14"/>
  <c r="E25" i="14"/>
  <c r="V25" i="14"/>
  <c r="B26" i="11"/>
  <c r="D25" i="11"/>
  <c r="V25" i="11"/>
  <c r="C25" i="11"/>
  <c r="E25" i="11"/>
  <c r="B26" i="4"/>
  <c r="D25" i="4"/>
  <c r="E25" i="4"/>
  <c r="C25" i="4"/>
  <c r="V25" i="4"/>
  <c r="C26" i="8"/>
  <c r="V26" i="8"/>
  <c r="D26" i="8"/>
  <c r="B27" i="8"/>
  <c r="E26" i="8"/>
  <c r="E26" i="5"/>
  <c r="D26" i="5"/>
  <c r="B27" i="5"/>
  <c r="V26" i="5"/>
  <c r="C26" i="5"/>
  <c r="D25" i="12"/>
  <c r="B26" i="12"/>
  <c r="C25" i="12"/>
  <c r="E25" i="12"/>
  <c r="V25" i="12"/>
  <c r="D25" i="9"/>
  <c r="C25" i="9"/>
  <c r="E25" i="9"/>
  <c r="B26" i="9"/>
  <c r="V25" i="9"/>
  <c r="D25" i="10"/>
  <c r="C25" i="10"/>
  <c r="V25" i="10"/>
  <c r="E25" i="10"/>
  <c r="B26" i="10"/>
  <c r="B28" i="13"/>
  <c r="D27" i="13"/>
  <c r="C27" i="13"/>
  <c r="E27" i="13"/>
  <c r="V27" i="13"/>
  <c r="D27" i="6"/>
  <c r="B28" i="6"/>
  <c r="E27" i="6"/>
  <c r="C27" i="6"/>
  <c r="V27" i="6"/>
  <c r="D27" i="7"/>
  <c r="C27" i="7"/>
  <c r="E27" i="7"/>
  <c r="B28" i="7"/>
  <c r="V27" i="7"/>
  <c r="B27" i="15" l="1"/>
  <c r="V26" i="15"/>
  <c r="C26" i="15"/>
  <c r="D26" i="15"/>
  <c r="E26" i="15"/>
  <c r="B27" i="10"/>
  <c r="E26" i="10"/>
  <c r="D26" i="10"/>
  <c r="C26" i="10"/>
  <c r="V26" i="10"/>
  <c r="E27" i="5"/>
  <c r="C27" i="5"/>
  <c r="V27" i="5"/>
  <c r="B28" i="5"/>
  <c r="D27" i="5"/>
  <c r="D26" i="11"/>
  <c r="B27" i="11"/>
  <c r="C26" i="11"/>
  <c r="E26" i="11"/>
  <c r="V26" i="11"/>
  <c r="B27" i="12"/>
  <c r="V26" i="12"/>
  <c r="C26" i="12"/>
  <c r="E26" i="12"/>
  <c r="D26" i="12"/>
  <c r="D27" i="8"/>
  <c r="B28" i="8"/>
  <c r="V27" i="8"/>
  <c r="C27" i="8"/>
  <c r="E27" i="8"/>
  <c r="C26" i="4"/>
  <c r="D26" i="4"/>
  <c r="E26" i="4"/>
  <c r="V26" i="4"/>
  <c r="B27" i="4"/>
  <c r="V26" i="9"/>
  <c r="C26" i="9"/>
  <c r="E26" i="9"/>
  <c r="D26" i="9"/>
  <c r="B27" i="9"/>
  <c r="C26" i="14"/>
  <c r="B27" i="14"/>
  <c r="D26" i="14"/>
  <c r="V26" i="14"/>
  <c r="E26" i="14"/>
  <c r="B29" i="13"/>
  <c r="D28" i="13"/>
  <c r="E28" i="13"/>
  <c r="V28" i="13"/>
  <c r="C28" i="13"/>
  <c r="D28" i="6"/>
  <c r="B29" i="6"/>
  <c r="V28" i="6"/>
  <c r="C28" i="6"/>
  <c r="E28" i="6"/>
  <c r="D28" i="7"/>
  <c r="B29" i="7"/>
  <c r="V28" i="7"/>
  <c r="C28" i="7"/>
  <c r="E28" i="7"/>
  <c r="C27" i="15" l="1"/>
  <c r="E27" i="15"/>
  <c r="D27" i="15"/>
  <c r="B28" i="15"/>
  <c r="V27" i="15"/>
  <c r="B28" i="12"/>
  <c r="D27" i="12"/>
  <c r="V27" i="12"/>
  <c r="C27" i="12"/>
  <c r="E27" i="12"/>
  <c r="E27" i="4"/>
  <c r="C27" i="4"/>
  <c r="B28" i="4"/>
  <c r="D27" i="4"/>
  <c r="V27" i="4"/>
  <c r="D28" i="8"/>
  <c r="B29" i="8"/>
  <c r="C28" i="8"/>
  <c r="E28" i="8"/>
  <c r="V28" i="8"/>
  <c r="B28" i="11"/>
  <c r="E27" i="11"/>
  <c r="V27" i="11"/>
  <c r="C27" i="11"/>
  <c r="D27" i="11"/>
  <c r="V27" i="9"/>
  <c r="C27" i="9"/>
  <c r="E27" i="9"/>
  <c r="D27" i="9"/>
  <c r="B28" i="9"/>
  <c r="B28" i="14"/>
  <c r="E27" i="14"/>
  <c r="D27" i="14"/>
  <c r="C27" i="14"/>
  <c r="V27" i="14"/>
  <c r="C28" i="5"/>
  <c r="E28" i="5"/>
  <c r="V28" i="5"/>
  <c r="D28" i="5"/>
  <c r="B29" i="5"/>
  <c r="D27" i="10"/>
  <c r="E27" i="10"/>
  <c r="B28" i="10"/>
  <c r="V27" i="10"/>
  <c r="C27" i="10"/>
  <c r="D29" i="6"/>
  <c r="B30" i="6"/>
  <c r="V29" i="6"/>
  <c r="C29" i="6"/>
  <c r="E29" i="6"/>
  <c r="D29" i="13"/>
  <c r="B30" i="13"/>
  <c r="V29" i="13"/>
  <c r="C29" i="13"/>
  <c r="E29" i="13"/>
  <c r="B30" i="7"/>
  <c r="C29" i="7"/>
  <c r="V29" i="7"/>
  <c r="D29" i="7"/>
  <c r="E29" i="7"/>
  <c r="V28" i="15" l="1"/>
  <c r="D28" i="15"/>
  <c r="B29" i="15"/>
  <c r="C28" i="15"/>
  <c r="E28" i="15"/>
  <c r="C28" i="11"/>
  <c r="B29" i="11"/>
  <c r="D28" i="11"/>
  <c r="V28" i="11"/>
  <c r="E28" i="11"/>
  <c r="B29" i="4"/>
  <c r="D28" i="4"/>
  <c r="E28" i="4"/>
  <c r="C28" i="4"/>
  <c r="V28" i="4"/>
  <c r="E28" i="10"/>
  <c r="B29" i="10"/>
  <c r="D28" i="10"/>
  <c r="C28" i="10"/>
  <c r="V28" i="10"/>
  <c r="C29" i="8"/>
  <c r="B30" i="8"/>
  <c r="D29" i="8"/>
  <c r="E29" i="8"/>
  <c r="V29" i="8"/>
  <c r="D29" i="5"/>
  <c r="B30" i="5"/>
  <c r="C29" i="5"/>
  <c r="V29" i="5"/>
  <c r="E29" i="5"/>
  <c r="C28" i="14"/>
  <c r="D28" i="14"/>
  <c r="B29" i="14"/>
  <c r="V28" i="14"/>
  <c r="E28" i="14"/>
  <c r="C28" i="9"/>
  <c r="E28" i="9"/>
  <c r="B29" i="9"/>
  <c r="D28" i="9"/>
  <c r="V28" i="9"/>
  <c r="D28" i="12"/>
  <c r="B29" i="12"/>
  <c r="E28" i="12"/>
  <c r="V28" i="12"/>
  <c r="C28" i="12"/>
  <c r="B31" i="13"/>
  <c r="D30" i="13"/>
  <c r="E30" i="13"/>
  <c r="V30" i="13"/>
  <c r="C30" i="13"/>
  <c r="D30" i="7"/>
  <c r="B31" i="7"/>
  <c r="E30" i="7"/>
  <c r="V30" i="7"/>
  <c r="C30" i="7"/>
  <c r="B31" i="6"/>
  <c r="C30" i="6"/>
  <c r="D30" i="6"/>
  <c r="V30" i="6"/>
  <c r="E30" i="6"/>
  <c r="E29" i="15" l="1"/>
  <c r="C29" i="15"/>
  <c r="D29" i="15"/>
  <c r="V29" i="15"/>
  <c r="B30" i="15"/>
  <c r="D30" i="5"/>
  <c r="V30" i="5"/>
  <c r="E30" i="5"/>
  <c r="B31" i="5"/>
  <c r="C30" i="5"/>
  <c r="V29" i="4"/>
  <c r="C29" i="4"/>
  <c r="D29" i="4"/>
  <c r="E29" i="4"/>
  <c r="B30" i="4"/>
  <c r="D29" i="12"/>
  <c r="V29" i="12"/>
  <c r="B30" i="12"/>
  <c r="E29" i="12"/>
  <c r="C29" i="12"/>
  <c r="B30" i="14"/>
  <c r="V29" i="14"/>
  <c r="D29" i="14"/>
  <c r="C29" i="14"/>
  <c r="E29" i="14"/>
  <c r="E29" i="10"/>
  <c r="C29" i="10"/>
  <c r="B30" i="10"/>
  <c r="D29" i="10"/>
  <c r="V29" i="10"/>
  <c r="B30" i="11"/>
  <c r="D29" i="11"/>
  <c r="C29" i="11"/>
  <c r="V29" i="11"/>
  <c r="E29" i="11"/>
  <c r="B30" i="9"/>
  <c r="C29" i="9"/>
  <c r="D29" i="9"/>
  <c r="E29" i="9"/>
  <c r="V29" i="9"/>
  <c r="E30" i="8"/>
  <c r="D30" i="8"/>
  <c r="B31" i="8"/>
  <c r="V30" i="8"/>
  <c r="C30" i="8"/>
  <c r="B32" i="13"/>
  <c r="D31" i="13"/>
  <c r="V31" i="13"/>
  <c r="C31" i="13"/>
  <c r="E31" i="13"/>
  <c r="D31" i="7"/>
  <c r="V31" i="7"/>
  <c r="B32" i="7"/>
  <c r="E31" i="7"/>
  <c r="C31" i="7"/>
  <c r="D31" i="6"/>
  <c r="B32" i="6"/>
  <c r="C31" i="6"/>
  <c r="E31" i="6"/>
  <c r="V31" i="6"/>
  <c r="D30" i="15" l="1"/>
  <c r="B31" i="15"/>
  <c r="V30" i="15"/>
  <c r="E30" i="15"/>
  <c r="C30" i="15"/>
  <c r="V30" i="14"/>
  <c r="C30" i="14"/>
  <c r="E30" i="14"/>
  <c r="D30" i="14"/>
  <c r="B31" i="14"/>
  <c r="D30" i="9"/>
  <c r="B31" i="9"/>
  <c r="V30" i="9"/>
  <c r="E30" i="9"/>
  <c r="C30" i="9"/>
  <c r="D30" i="10"/>
  <c r="B31" i="10"/>
  <c r="E30" i="10"/>
  <c r="C30" i="10"/>
  <c r="V30" i="10"/>
  <c r="B32" i="8"/>
  <c r="E31" i="8"/>
  <c r="C31" i="8"/>
  <c r="V31" i="8"/>
  <c r="D31" i="8"/>
  <c r="E30" i="12"/>
  <c r="B31" i="12"/>
  <c r="V30" i="12"/>
  <c r="D30" i="12"/>
  <c r="C30" i="12"/>
  <c r="D31" i="5"/>
  <c r="E31" i="5"/>
  <c r="B32" i="5"/>
  <c r="V31" i="5"/>
  <c r="C31" i="5"/>
  <c r="B31" i="11"/>
  <c r="E30" i="11"/>
  <c r="V30" i="11"/>
  <c r="C30" i="11"/>
  <c r="D30" i="11"/>
  <c r="E30" i="4"/>
  <c r="D30" i="4"/>
  <c r="B31" i="4"/>
  <c r="C30" i="4"/>
  <c r="V30" i="4"/>
  <c r="D32" i="7"/>
  <c r="B33" i="7"/>
  <c r="C32" i="7"/>
  <c r="E32" i="7"/>
  <c r="V32" i="7"/>
  <c r="D32" i="6"/>
  <c r="B33" i="6"/>
  <c r="E32" i="6"/>
  <c r="C32" i="6"/>
  <c r="V32" i="6"/>
  <c r="B33" i="13"/>
  <c r="D32" i="13"/>
  <c r="C32" i="13"/>
  <c r="E32" i="13"/>
  <c r="V32" i="13"/>
  <c r="V31" i="15" l="1"/>
  <c r="B32" i="15"/>
  <c r="D31" i="15"/>
  <c r="E31" i="15"/>
  <c r="C31" i="15"/>
  <c r="B33" i="8"/>
  <c r="V32" i="8"/>
  <c r="E32" i="8"/>
  <c r="C32" i="8"/>
  <c r="D32" i="8"/>
  <c r="B32" i="11"/>
  <c r="D31" i="11"/>
  <c r="C31" i="11"/>
  <c r="E31" i="11"/>
  <c r="V31" i="11"/>
  <c r="V31" i="9"/>
  <c r="C31" i="9"/>
  <c r="E31" i="9"/>
  <c r="B32" i="9"/>
  <c r="D31" i="9"/>
  <c r="E31" i="4"/>
  <c r="B32" i="4"/>
  <c r="C31" i="4"/>
  <c r="V31" i="4"/>
  <c r="D31" i="4"/>
  <c r="B32" i="12"/>
  <c r="D31" i="12"/>
  <c r="V31" i="12"/>
  <c r="E31" i="12"/>
  <c r="C31" i="12"/>
  <c r="E31" i="14"/>
  <c r="V31" i="14"/>
  <c r="B32" i="14"/>
  <c r="D31" i="14"/>
  <c r="C31" i="14"/>
  <c r="V31" i="10"/>
  <c r="E31" i="10"/>
  <c r="C31" i="10"/>
  <c r="D31" i="10"/>
  <c r="B32" i="10"/>
  <c r="D32" i="5"/>
  <c r="B33" i="5"/>
  <c r="E32" i="5"/>
  <c r="C32" i="5"/>
  <c r="V32" i="5"/>
  <c r="D33" i="7"/>
  <c r="V33" i="7"/>
  <c r="B34" i="7"/>
  <c r="C33" i="7"/>
  <c r="E33" i="7"/>
  <c r="D33" i="6"/>
  <c r="B34" i="6"/>
  <c r="E33" i="6"/>
  <c r="C33" i="6"/>
  <c r="V33" i="6"/>
  <c r="D33" i="13"/>
  <c r="B34" i="13"/>
  <c r="C33" i="13"/>
  <c r="V33" i="13"/>
  <c r="E33" i="13"/>
  <c r="D32" i="15" l="1"/>
  <c r="C32" i="15"/>
  <c r="B33" i="15"/>
  <c r="E32" i="15"/>
  <c r="V32" i="15"/>
  <c r="D32" i="9"/>
  <c r="V32" i="9"/>
  <c r="C32" i="9"/>
  <c r="E32" i="9"/>
  <c r="B33" i="9"/>
  <c r="B33" i="11"/>
  <c r="C32" i="11"/>
  <c r="D32" i="11"/>
  <c r="V32" i="11"/>
  <c r="E32" i="11"/>
  <c r="V33" i="5"/>
  <c r="C33" i="5"/>
  <c r="B34" i="5"/>
  <c r="E33" i="5"/>
  <c r="D33" i="5"/>
  <c r="B33" i="12"/>
  <c r="E32" i="12"/>
  <c r="D32" i="12"/>
  <c r="C32" i="12"/>
  <c r="V32" i="12"/>
  <c r="B33" i="14"/>
  <c r="D32" i="14"/>
  <c r="C32" i="14"/>
  <c r="E32" i="14"/>
  <c r="V32" i="14"/>
  <c r="B33" i="10"/>
  <c r="D32" i="10"/>
  <c r="C32" i="10"/>
  <c r="V32" i="10"/>
  <c r="E32" i="10"/>
  <c r="E32" i="4"/>
  <c r="B33" i="4"/>
  <c r="C32" i="4"/>
  <c r="D32" i="4"/>
  <c r="V32" i="4"/>
  <c r="E33" i="8"/>
  <c r="D33" i="8"/>
  <c r="B34" i="8"/>
  <c r="C33" i="8"/>
  <c r="V33" i="8"/>
  <c r="D34" i="6"/>
  <c r="B35" i="6"/>
  <c r="V34" i="6"/>
  <c r="C34" i="6"/>
  <c r="E34" i="6"/>
  <c r="D34" i="7"/>
  <c r="V34" i="7"/>
  <c r="C34" i="7"/>
  <c r="B35" i="7"/>
  <c r="E34" i="7"/>
  <c r="B35" i="13"/>
  <c r="D34" i="13"/>
  <c r="C34" i="13"/>
  <c r="E34" i="13"/>
  <c r="V34" i="13"/>
  <c r="E33" i="15" l="1"/>
  <c r="V33" i="15"/>
  <c r="C33" i="15"/>
  <c r="D33" i="15"/>
  <c r="B34" i="15"/>
  <c r="E33" i="4"/>
  <c r="B34" i="4"/>
  <c r="D33" i="4"/>
  <c r="V33" i="4"/>
  <c r="C33" i="4"/>
  <c r="D33" i="12"/>
  <c r="B34" i="12"/>
  <c r="C33" i="12"/>
  <c r="E33" i="12"/>
  <c r="V33" i="12"/>
  <c r="C34" i="8"/>
  <c r="E34" i="8"/>
  <c r="V34" i="8"/>
  <c r="B35" i="8"/>
  <c r="D34" i="8"/>
  <c r="C33" i="11"/>
  <c r="E33" i="11"/>
  <c r="B34" i="11"/>
  <c r="V33" i="11"/>
  <c r="D33" i="11"/>
  <c r="B34" i="14"/>
  <c r="C33" i="14"/>
  <c r="V33" i="14"/>
  <c r="E33" i="14"/>
  <c r="D33" i="14"/>
  <c r="D34" i="5"/>
  <c r="V34" i="5"/>
  <c r="B35" i="5"/>
  <c r="C34" i="5"/>
  <c r="E34" i="5"/>
  <c r="V33" i="9"/>
  <c r="B34" i="9"/>
  <c r="E33" i="9"/>
  <c r="D33" i="9"/>
  <c r="C33" i="9"/>
  <c r="C33" i="10"/>
  <c r="D33" i="10"/>
  <c r="E33" i="10"/>
  <c r="V33" i="10"/>
  <c r="B34" i="10"/>
  <c r="D35" i="6"/>
  <c r="B36" i="6"/>
  <c r="V35" i="6"/>
  <c r="C35" i="6"/>
  <c r="E35" i="6"/>
  <c r="D35" i="7"/>
  <c r="C35" i="7"/>
  <c r="E35" i="7"/>
  <c r="B36" i="7"/>
  <c r="V35" i="7"/>
  <c r="B36" i="13"/>
  <c r="D35" i="13"/>
  <c r="E35" i="13"/>
  <c r="V35" i="13"/>
  <c r="C35" i="13"/>
  <c r="E34" i="15" l="1"/>
  <c r="B35" i="15"/>
  <c r="V34" i="15"/>
  <c r="D34" i="15"/>
  <c r="C34" i="15"/>
  <c r="D34" i="10"/>
  <c r="B35" i="10"/>
  <c r="V34" i="10"/>
  <c r="C34" i="10"/>
  <c r="E34" i="10"/>
  <c r="E34" i="9"/>
  <c r="B35" i="9"/>
  <c r="D34" i="9"/>
  <c r="C34" i="9"/>
  <c r="V34" i="9"/>
  <c r="B35" i="12"/>
  <c r="C34" i="12"/>
  <c r="V34" i="12"/>
  <c r="E34" i="12"/>
  <c r="D34" i="12"/>
  <c r="D35" i="8"/>
  <c r="E35" i="8"/>
  <c r="B36" i="8"/>
  <c r="C35" i="8"/>
  <c r="V35" i="8"/>
  <c r="D34" i="14"/>
  <c r="V34" i="14"/>
  <c r="C34" i="14"/>
  <c r="E34" i="14"/>
  <c r="B35" i="14"/>
  <c r="D35" i="5"/>
  <c r="E35" i="5"/>
  <c r="B36" i="5"/>
  <c r="V35" i="5"/>
  <c r="C35" i="5"/>
  <c r="D34" i="11"/>
  <c r="C34" i="11"/>
  <c r="V34" i="11"/>
  <c r="B35" i="11"/>
  <c r="E34" i="11"/>
  <c r="E34" i="4"/>
  <c r="V34" i="4"/>
  <c r="C34" i="4"/>
  <c r="D34" i="4"/>
  <c r="B35" i="4"/>
  <c r="D36" i="6"/>
  <c r="B37" i="6"/>
  <c r="E36" i="6"/>
  <c r="V36" i="6"/>
  <c r="C36" i="6"/>
  <c r="D36" i="7"/>
  <c r="B37" i="7"/>
  <c r="V36" i="7"/>
  <c r="C36" i="7"/>
  <c r="E36" i="7"/>
  <c r="B37" i="13"/>
  <c r="D36" i="13"/>
  <c r="E36" i="13"/>
  <c r="C36" i="13"/>
  <c r="V36" i="13"/>
  <c r="V35" i="15" l="1"/>
  <c r="B36" i="15"/>
  <c r="E35" i="15"/>
  <c r="D35" i="15"/>
  <c r="C35" i="15"/>
  <c r="C35" i="4"/>
  <c r="E35" i="4"/>
  <c r="B36" i="4"/>
  <c r="D35" i="4"/>
  <c r="V35" i="4"/>
  <c r="D35" i="9"/>
  <c r="B36" i="9"/>
  <c r="C35" i="9"/>
  <c r="V35" i="9"/>
  <c r="E35" i="9"/>
  <c r="E36" i="5"/>
  <c r="D36" i="5"/>
  <c r="B37" i="5"/>
  <c r="V36" i="5"/>
  <c r="C36" i="5"/>
  <c r="D35" i="12"/>
  <c r="C35" i="12"/>
  <c r="E35" i="12"/>
  <c r="V35" i="12"/>
  <c r="B36" i="12"/>
  <c r="D35" i="11"/>
  <c r="E35" i="11"/>
  <c r="B36" i="11"/>
  <c r="V35" i="11"/>
  <c r="C35" i="11"/>
  <c r="D36" i="8"/>
  <c r="B37" i="8"/>
  <c r="C36" i="8"/>
  <c r="E36" i="8"/>
  <c r="V36" i="8"/>
  <c r="D35" i="10"/>
  <c r="B36" i="10"/>
  <c r="E35" i="10"/>
  <c r="C35" i="10"/>
  <c r="V35" i="10"/>
  <c r="D35" i="14"/>
  <c r="E35" i="14"/>
  <c r="V35" i="14"/>
  <c r="C35" i="14"/>
  <c r="B36" i="14"/>
  <c r="D37" i="13"/>
  <c r="B38" i="13"/>
  <c r="V37" i="13"/>
  <c r="C37" i="13"/>
  <c r="E37" i="13"/>
  <c r="D37" i="6"/>
  <c r="B38" i="6"/>
  <c r="V37" i="6"/>
  <c r="C37" i="6"/>
  <c r="E37" i="6"/>
  <c r="B38" i="7"/>
  <c r="C37" i="7"/>
  <c r="D37" i="7"/>
  <c r="V37" i="7"/>
  <c r="E37" i="7"/>
  <c r="C36" i="15" l="1"/>
  <c r="V36" i="15"/>
  <c r="E36" i="15"/>
  <c r="D36" i="15"/>
  <c r="B37" i="15"/>
  <c r="D36" i="14"/>
  <c r="E36" i="14"/>
  <c r="B37" i="14"/>
  <c r="C36" i="14"/>
  <c r="V36" i="14"/>
  <c r="V36" i="10"/>
  <c r="B37" i="10"/>
  <c r="E36" i="10"/>
  <c r="C36" i="10"/>
  <c r="D36" i="10"/>
  <c r="D36" i="11"/>
  <c r="V36" i="11"/>
  <c r="E36" i="11"/>
  <c r="C36" i="11"/>
  <c r="B37" i="11"/>
  <c r="E36" i="9"/>
  <c r="C36" i="9"/>
  <c r="V36" i="9"/>
  <c r="B37" i="9"/>
  <c r="D36" i="9"/>
  <c r="D37" i="5"/>
  <c r="C37" i="5"/>
  <c r="E37" i="5"/>
  <c r="V36" i="12"/>
  <c r="C36" i="12"/>
  <c r="B37" i="12"/>
  <c r="D36" i="12"/>
  <c r="E36" i="12"/>
  <c r="B38" i="8"/>
  <c r="C37" i="8"/>
  <c r="D37" i="8"/>
  <c r="V37" i="8"/>
  <c r="E37" i="8"/>
  <c r="V36" i="4"/>
  <c r="C36" i="4"/>
  <c r="D36" i="4"/>
  <c r="B37" i="4"/>
  <c r="E36" i="4"/>
  <c r="D38" i="7"/>
  <c r="E38" i="7"/>
  <c r="V38" i="7"/>
  <c r="C38" i="7"/>
  <c r="B39" i="13"/>
  <c r="D38" i="13"/>
  <c r="V38" i="13"/>
  <c r="C38" i="13"/>
  <c r="E38" i="13"/>
  <c r="B39" i="6"/>
  <c r="C38" i="6"/>
  <c r="D38" i="6"/>
  <c r="E38" i="6"/>
  <c r="V38" i="6"/>
  <c r="V37" i="15" l="1"/>
  <c r="D37" i="15"/>
  <c r="C37" i="15"/>
  <c r="E37" i="15"/>
  <c r="B38" i="15"/>
  <c r="B38" i="11"/>
  <c r="D37" i="11"/>
  <c r="E37" i="11"/>
  <c r="V37" i="11"/>
  <c r="C37" i="11"/>
  <c r="E37" i="10"/>
  <c r="D37" i="10"/>
  <c r="B38" i="10"/>
  <c r="V37" i="10"/>
  <c r="C37" i="10"/>
  <c r="C37" i="4"/>
  <c r="E37" i="4"/>
  <c r="B38" i="4"/>
  <c r="D37" i="4"/>
  <c r="V37" i="4"/>
  <c r="D38" i="8"/>
  <c r="B39" i="8"/>
  <c r="C38" i="8"/>
  <c r="V38" i="8"/>
  <c r="E38" i="8"/>
  <c r="S41" i="5"/>
  <c r="B41" i="5"/>
  <c r="S42" i="5"/>
  <c r="M42" i="5" s="1"/>
  <c r="C37" i="9"/>
  <c r="E37" i="9"/>
  <c r="B38" i="9"/>
  <c r="D37" i="9"/>
  <c r="V37" i="9"/>
  <c r="E37" i="14"/>
  <c r="B38" i="14"/>
  <c r="V37" i="14"/>
  <c r="D37" i="14"/>
  <c r="C37" i="14"/>
  <c r="B38" i="12"/>
  <c r="V37" i="12"/>
  <c r="E37" i="12"/>
  <c r="C37" i="12"/>
  <c r="D37" i="12"/>
  <c r="D39" i="6"/>
  <c r="E39" i="6"/>
  <c r="V39" i="6"/>
  <c r="C39" i="6"/>
  <c r="D39" i="13"/>
  <c r="C39" i="13"/>
  <c r="E39" i="13"/>
  <c r="V39" i="13"/>
  <c r="B41" i="7"/>
  <c r="S42" i="7"/>
  <c r="M42" i="7" s="1"/>
  <c r="S41" i="7"/>
  <c r="C38" i="15" l="1"/>
  <c r="B39" i="15"/>
  <c r="E38" i="15"/>
  <c r="D38" i="15"/>
  <c r="V38" i="15"/>
  <c r="E38" i="14"/>
  <c r="V38" i="14"/>
  <c r="D38" i="14"/>
  <c r="C38" i="14"/>
  <c r="D38" i="4"/>
  <c r="B39" i="4"/>
  <c r="C38" i="4"/>
  <c r="V38" i="4"/>
  <c r="E38" i="4"/>
  <c r="E38" i="12"/>
  <c r="V38" i="12"/>
  <c r="C38" i="12"/>
  <c r="D38" i="12"/>
  <c r="D38" i="9"/>
  <c r="B41" i="9" s="1"/>
  <c r="E38" i="9"/>
  <c r="C38" i="9"/>
  <c r="V38" i="9"/>
  <c r="C39" i="8"/>
  <c r="V39" i="8"/>
  <c r="D39" i="8"/>
  <c r="E39" i="8"/>
  <c r="D38" i="11"/>
  <c r="E38" i="11"/>
  <c r="V38" i="11"/>
  <c r="C38" i="11"/>
  <c r="B39" i="11"/>
  <c r="C38" i="10"/>
  <c r="V38" i="10"/>
  <c r="E38" i="10"/>
  <c r="D38" i="10"/>
  <c r="B39" i="10"/>
  <c r="S42" i="13"/>
  <c r="M42" i="13" s="1"/>
  <c r="S41" i="13"/>
  <c r="B41" i="13"/>
  <c r="S41" i="6"/>
  <c r="S42" i="6"/>
  <c r="M42" i="6" s="1"/>
  <c r="B41" i="6"/>
  <c r="S41" i="9" l="1"/>
  <c r="D39" i="15"/>
  <c r="V39" i="15"/>
  <c r="E39" i="15"/>
  <c r="C39" i="15"/>
  <c r="S42" i="8"/>
  <c r="M42" i="8" s="1"/>
  <c r="S41" i="8"/>
  <c r="B41" i="8"/>
  <c r="C39" i="4"/>
  <c r="D39" i="4"/>
  <c r="S41" i="4" s="1"/>
  <c r="V39" i="4"/>
  <c r="E39" i="4"/>
  <c r="B41" i="12"/>
  <c r="S41" i="12"/>
  <c r="S42" i="12"/>
  <c r="M42" i="12" s="1"/>
  <c r="C39" i="11"/>
  <c r="D39" i="11"/>
  <c r="V39" i="11"/>
  <c r="E39" i="11"/>
  <c r="S42" i="14"/>
  <c r="M42" i="14" s="1"/>
  <c r="B41" i="14"/>
  <c r="S41" i="14"/>
  <c r="D39" i="10"/>
  <c r="C39" i="10"/>
  <c r="E39" i="10"/>
  <c r="V39" i="10"/>
  <c r="S42" i="9"/>
  <c r="M42" i="9" s="1"/>
  <c r="S42" i="15" l="1"/>
  <c r="M42" i="15" s="1"/>
  <c r="B41" i="15"/>
  <c r="S41" i="15"/>
  <c r="S42" i="10"/>
  <c r="M42" i="10" s="1"/>
  <c r="B41" i="10"/>
  <c r="S41" i="10"/>
  <c r="S42" i="4"/>
  <c r="S41" i="11"/>
  <c r="S42" i="11"/>
  <c r="M42" i="11" s="1"/>
  <c r="B41" i="4"/>
  <c r="B41" i="11"/>
  <c r="F6" i="17" l="1"/>
  <c r="M42" i="4"/>
  <c r="S44" i="4"/>
  <c r="S43" i="5" s="1"/>
  <c r="M43" i="5" l="1"/>
  <c r="S44" i="5"/>
  <c r="S43" i="6" s="1"/>
  <c r="S44" i="6" l="1"/>
  <c r="S43" i="7" s="1"/>
  <c r="M43" i="6"/>
  <c r="M43" i="7" l="1"/>
  <c r="S44" i="7"/>
  <c r="S43" i="8" s="1"/>
  <c r="S44" i="8" l="1"/>
  <c r="S43" i="9" s="1"/>
  <c r="M43" i="8"/>
  <c r="S44" i="9" l="1"/>
  <c r="S43" i="10" s="1"/>
  <c r="M43" i="9"/>
  <c r="S44" i="10" l="1"/>
  <c r="S43" i="11" s="1"/>
  <c r="M43" i="10"/>
  <c r="S44" i="11" l="1"/>
  <c r="S43" i="12" s="1"/>
  <c r="M43" i="11"/>
  <c r="M43" i="12" l="1"/>
  <c r="S45" i="12"/>
  <c r="S43" i="13" s="1"/>
  <c r="M43" i="13" l="1"/>
  <c r="S44" i="13"/>
  <c r="S43" i="14" s="1"/>
  <c r="S44" i="14" l="1"/>
  <c r="S43" i="15" s="1"/>
  <c r="M43" i="14"/>
  <c r="S44" i="15" l="1"/>
  <c r="M43" i="15"/>
  <c r="R6" i="17" l="1"/>
  <c r="W6" i="17"/>
</calcChain>
</file>

<file path=xl/sharedStrings.xml><?xml version="1.0" encoding="utf-8"?>
<sst xmlns="http://schemas.openxmlformats.org/spreadsheetml/2006/main" count="708" uniqueCount="200">
  <si>
    <t>DIÖZESE GURK</t>
  </si>
  <si>
    <t xml:space="preserve">Dienststundennachweis für </t>
  </si>
  <si>
    <t xml:space="preserve">   Die aktuelle Jahreszahl eingeben!</t>
  </si>
  <si>
    <t>Für:</t>
  </si>
  <si>
    <t>Dienststelle:</t>
  </si>
  <si>
    <t>Jänner</t>
  </si>
  <si>
    <t xml:space="preserve">h/Tag  </t>
  </si>
  <si>
    <t>Feber</t>
  </si>
  <si>
    <t>März</t>
  </si>
  <si>
    <t>April</t>
  </si>
  <si>
    <t>Mai</t>
  </si>
  <si>
    <t>Juni</t>
  </si>
  <si>
    <t xml:space="preserve">    a = J Mod 19</t>
  </si>
  <si>
    <t>h</t>
  </si>
  <si>
    <t>Montag:</t>
  </si>
  <si>
    <t xml:space="preserve">    b = J Mod 4</t>
  </si>
  <si>
    <r>
      <t>ï</t>
    </r>
    <r>
      <rPr>
        <sz val="8"/>
        <rFont val="Arial"/>
        <family val="2"/>
      </rPr>
      <t xml:space="preserve"> Den verbleibenden Resturlaub in Stunden per 31.12. des Vorjahres eintragen.</t>
    </r>
  </si>
  <si>
    <t>Dienstag:</t>
  </si>
  <si>
    <t xml:space="preserve">    c = J Mod 7</t>
  </si>
  <si>
    <t>Mittwoch:</t>
  </si>
  <si>
    <t xml:space="preserve">    d = (19 * a + 24) Mod 30</t>
  </si>
  <si>
    <t>Donnerstag:</t>
  </si>
  <si>
    <t xml:space="preserve">    e = (2 * b + 4 * c + 6 * d + 5) Mod 7</t>
  </si>
  <si>
    <t>Freitag:</t>
  </si>
  <si>
    <t xml:space="preserve">         OT = 22 + d + e</t>
  </si>
  <si>
    <t>Samstag:</t>
  </si>
  <si>
    <t xml:space="preserve">    If OT &gt; 31 Then</t>
  </si>
  <si>
    <t>Generelle</t>
  </si>
  <si>
    <t>Wochenzeit</t>
  </si>
  <si>
    <t xml:space="preserve">       OT = d + e - 9</t>
  </si>
  <si>
    <t>Arbeitszeiten:</t>
  </si>
  <si>
    <t>Korrektur Urlaub</t>
  </si>
  <si>
    <t xml:space="preserve">       OM = 4</t>
  </si>
  <si>
    <t xml:space="preserve">Wenn sich während des Jahres das Beschäftigungsausmaß ändern sollte, </t>
  </si>
  <si>
    <t>Arbeitszeitmodell</t>
  </si>
  <si>
    <t xml:space="preserve">    End If</t>
  </si>
  <si>
    <t>dann ist dies in den betreffenden Monaten zu korrigieren!</t>
  </si>
  <si>
    <t xml:space="preserve">    If OT = 26 And OM = 4 Then</t>
  </si>
  <si>
    <t>Um die Korrektur vorzunehmen wenden Sie sich bitte an das Lohnbüro.</t>
  </si>
  <si>
    <t xml:space="preserve">       OT = 19</t>
  </si>
  <si>
    <t>Juli</t>
  </si>
  <si>
    <t>August</t>
  </si>
  <si>
    <t>September</t>
  </si>
  <si>
    <t>Oktober</t>
  </si>
  <si>
    <t>November</t>
  </si>
  <si>
    <t>Dezember</t>
  </si>
  <si>
    <t xml:space="preserve">    If OT = 25 And OM = 4 And d = 28 And e = 6 And a &gt; 10 Then</t>
  </si>
  <si>
    <t xml:space="preserve">Wochenarbeitszeit:  </t>
  </si>
  <si>
    <t xml:space="preserve">       OT = 18</t>
  </si>
  <si>
    <t>Arbeitstage pro Woche:</t>
  </si>
  <si>
    <t>Tage</t>
  </si>
  <si>
    <t>J=Jahreszahl</t>
  </si>
  <si>
    <t>Definieren Sie dass auf Sie zutreffende Arbeitszeitmodell:</t>
  </si>
  <si>
    <t>1 = Fixe Arbeitszeit    2 = Gleitende Arbeitszeit    3 = Flexible Arbeitszeit</t>
  </si>
  <si>
    <t>Arbeitszeitmodell:</t>
  </si>
  <si>
    <r>
      <t>Fixe Arbeitszeit</t>
    </r>
    <r>
      <rPr>
        <sz val="10"/>
        <color indexed="55"/>
        <rFont val="Arial"/>
        <family val="2"/>
      </rPr>
      <t xml:space="preserve">  (Zeiten ohne Aufwertung: Mo-Fr:  06.00 - 20.00 Uhr  -  Sa:  06.00 - 13.00 Uhr)</t>
    </r>
  </si>
  <si>
    <r>
      <t>Gleitende Arbeitszeit</t>
    </r>
    <r>
      <rPr>
        <sz val="10"/>
        <color indexed="55"/>
        <rFont val="Arial"/>
        <family val="2"/>
      </rPr>
      <t xml:space="preserve">  (Zeiten ohne Aufwertung: Mo-Fr:  06.00 - 20.00 Uhr  -  Sa:  06.00 - 13.00 Uhr)</t>
    </r>
  </si>
  <si>
    <r>
      <t>Flexible Arbeitszeit</t>
    </r>
    <r>
      <rPr>
        <sz val="10"/>
        <color indexed="55"/>
        <rFont val="Arial"/>
        <family val="2"/>
      </rPr>
      <t xml:space="preserve">  (Zeiten ohne Aufwertung: Mo-Fr:  06.00 - 22.00 Uhr  -  Sa:  06.00 - 18.00 Uhr)</t>
    </r>
  </si>
  <si>
    <t>Unmittelbarer Vorgesetzter:</t>
  </si>
  <si>
    <t>Die auf Sie zutreffenden Dienstfreien Tage sind mit der Ziffer 1 kennzuzeichnen</t>
  </si>
  <si>
    <t>Die "blau-geschriebenen" Tage, die für Sie nicht dienstfrei sind dürfen kein Zeichen bzw. Ziffer aufweisen!</t>
  </si>
  <si>
    <t>Neujahr</t>
  </si>
  <si>
    <t>Hl. drei Könige</t>
  </si>
  <si>
    <t>Josefitag</t>
  </si>
  <si>
    <t>Karfreitag</t>
  </si>
  <si>
    <t>Ostermontag</t>
  </si>
  <si>
    <t>Staatsfeiertag</t>
  </si>
  <si>
    <t>Christi Himmelfahrt</t>
  </si>
  <si>
    <t>Pfingstmontag</t>
  </si>
  <si>
    <t>Dienstag nach Pfingsten</t>
  </si>
  <si>
    <t>Fronleichnam</t>
  </si>
  <si>
    <t>Maria Himmelfahrt</t>
  </si>
  <si>
    <t>Nationalfeiertag</t>
  </si>
  <si>
    <t>Allerheiligen</t>
  </si>
  <si>
    <t>Allerseelen</t>
  </si>
  <si>
    <t>Maria Empfängnis</t>
  </si>
  <si>
    <t>Hl. Abend</t>
  </si>
  <si>
    <t>Christtag</t>
  </si>
  <si>
    <t>Stephanitag</t>
  </si>
  <si>
    <t>Silvester</t>
  </si>
  <si>
    <t>An das Lohnbüro der DIÖZESE GURK</t>
  </si>
  <si>
    <t>Mariannengasse 2, 9010 Klagenfurt</t>
  </si>
  <si>
    <t>Meldung</t>
  </si>
  <si>
    <t>X</t>
  </si>
  <si>
    <t xml:space="preserve"> Urlaub</t>
  </si>
  <si>
    <t>Bestätigung</t>
  </si>
  <si>
    <r>
      <t xml:space="preserve"> Sonderurlaub </t>
    </r>
    <r>
      <rPr>
        <sz val="8"/>
        <rFont val="Arial"/>
        <family val="2"/>
      </rPr>
      <t>(unbezahlt)</t>
    </r>
  </si>
  <si>
    <t xml:space="preserve"> Zeitausgleich</t>
  </si>
  <si>
    <t xml:space="preserve"> Pflegeurlaub</t>
  </si>
  <si>
    <r>
      <t xml:space="preserve"> Freizeitgewährung </t>
    </r>
    <r>
      <rPr>
        <sz val="8"/>
        <rFont val="Arial"/>
        <family val="2"/>
      </rPr>
      <t>(bezahlt)</t>
    </r>
  </si>
  <si>
    <t xml:space="preserve"> Dienstreise</t>
  </si>
  <si>
    <t>Dienstnehmer/-in:</t>
  </si>
  <si>
    <t>Abwesenheit von</t>
  </si>
  <si>
    <t>TT.MM.JJJJ</t>
  </si>
  <si>
    <t>bis</t>
  </si>
  <si>
    <t>Der genannte Zeitraum umfasst</t>
  </si>
  <si>
    <t xml:space="preserve">  Arbeitsstunden.</t>
  </si>
  <si>
    <t xml:space="preserve">  Arbeitsstunden</t>
  </si>
  <si>
    <t>Dienstgeber</t>
  </si>
  <si>
    <t>Dienstnehmer</t>
  </si>
  <si>
    <t>%</t>
  </si>
  <si>
    <t xml:space="preserve">  Stunden</t>
  </si>
  <si>
    <t>Dienststundennachweis für</t>
  </si>
  <si>
    <t>Arbeitszeit</t>
  </si>
  <si>
    <t>Unterbrechung(en)</t>
  </si>
  <si>
    <t>Aufwertung</t>
  </si>
  <si>
    <t>Krank</t>
  </si>
  <si>
    <t>Urlaub</t>
  </si>
  <si>
    <t>Norm.</t>
  </si>
  <si>
    <t>Aufw.</t>
  </si>
  <si>
    <t>Tages</t>
  </si>
  <si>
    <t>Tätigkeiten</t>
  </si>
  <si>
    <t>von</t>
  </si>
  <si>
    <t>1 : 1,5</t>
  </si>
  <si>
    <t>1 : 2</t>
  </si>
  <si>
    <t>STD</t>
  </si>
  <si>
    <r>
      <t xml:space="preserve">Summe Monatsstunden </t>
    </r>
    <r>
      <rPr>
        <sz val="8"/>
        <rFont val="Arial"/>
        <family val="2"/>
      </rPr>
      <t>(inkl. Urlaub/Krankenstand)</t>
    </r>
  </si>
  <si>
    <t xml:space="preserve"> Auszahlung Über-/Mehrstunden:</t>
  </si>
  <si>
    <t xml:space="preserve"> Vermerke:</t>
  </si>
  <si>
    <t xml:space="preserve"> Ausgezahlt am :</t>
  </si>
  <si>
    <t xml:space="preserve"> Ausgedruckt am:</t>
  </si>
  <si>
    <t>:</t>
  </si>
  <si>
    <t>Datum</t>
  </si>
  <si>
    <t>Dauer</t>
  </si>
  <si>
    <t>Zweck der</t>
  </si>
  <si>
    <t>R e i s e w e g</t>
  </si>
  <si>
    <t>Projekt-</t>
  </si>
  <si>
    <t>Mit-</t>
  </si>
  <si>
    <t>WEGSTRECKE (km)</t>
  </si>
  <si>
    <t>KOSTEN</t>
  </si>
  <si>
    <t>Übernachtung(en)</t>
  </si>
  <si>
    <t>der Reise</t>
  </si>
  <si>
    <t>Beginn</t>
  </si>
  <si>
    <t>Ende</t>
  </si>
  <si>
    <t>Dienstreise</t>
  </si>
  <si>
    <t>von - nach</t>
  </si>
  <si>
    <t>nummer</t>
  </si>
  <si>
    <t>fahrer</t>
  </si>
  <si>
    <t>LSt-frei</t>
  </si>
  <si>
    <t>LSt-pfl.</t>
  </si>
  <si>
    <t>öffentl. V.-Mittel</t>
  </si>
  <si>
    <t>Selbstverpflegung</t>
  </si>
  <si>
    <t>Ich versichere, dass alle Angaben der Wahrheit entsprechen und für diese Kosten von keiner anderen Stelle Ersatz geleistet wird.</t>
  </si>
  <si>
    <t>KOSTENBERECHNUNG:</t>
  </si>
  <si>
    <t>€/km</t>
  </si>
  <si>
    <t>Betrag</t>
  </si>
  <si>
    <t xml:space="preserve">Kostenersatz öffentl. Verkehrsmittel </t>
  </si>
  <si>
    <t>Fahrtkosten LSt.-Frei</t>
  </si>
  <si>
    <t>Fahrtkosten LSt.-pflichtig</t>
  </si>
  <si>
    <t>Mitfahrer (pro km und Mitfahrer)</t>
  </si>
  <si>
    <r>
      <t xml:space="preserve">Übernachtungs-/Selbstverpflegungkosten </t>
    </r>
    <r>
      <rPr>
        <sz val="8"/>
        <rFont val="Arial"/>
        <family val="2"/>
      </rPr>
      <t>(lt. Belegen)</t>
    </r>
  </si>
  <si>
    <t>Summe Reisekosten:</t>
  </si>
  <si>
    <t>Bearbeitungsvermerk</t>
  </si>
  <si>
    <t>Finanzkammer:</t>
  </si>
  <si>
    <t>Erläuterungen zum Ausfüllen des Antrags:</t>
  </si>
  <si>
    <t>Text</t>
  </si>
  <si>
    <t>Ort Abfahrt - Reiseziel - Ort Rückkehr</t>
  </si>
  <si>
    <t>Projektnummer:</t>
  </si>
  <si>
    <t>Ist der Zweck der Fahrt projektbezogen, dann ist die jeweilige Projektnummer einzutragen.</t>
  </si>
  <si>
    <t>Mitfahrer:</t>
  </si>
  <si>
    <t>Werden Personen mitgenommen, dann ist die Anzahl der mitgenommenen Personen in der Spalte "Mitfahrer" einzutragen.</t>
  </si>
  <si>
    <t>KOSTEN öffentl. V.-Mittel:</t>
  </si>
  <si>
    <t>Erfolgt die Reise mit einem öffentlichen Verkehrsmittel, dann sind die angefallen Kosten (sofern diese selbst bezahlt wurden) einzutragen und der Beleg.</t>
  </si>
  <si>
    <t>ist beizulegen.</t>
  </si>
  <si>
    <t>Erfolgte die Reise mit dem Privat-PKW und es wurde die Reise nur mittels öffentlichen Verkehrsmittel genehmigt, dann können nur die Kosten des</t>
  </si>
  <si>
    <t>öffentlichen Verkehrsmittels (Tarif laut Vorteils- oder Businesscard) verrechnet werden.</t>
  </si>
  <si>
    <t>Selbstverpflegung:</t>
  </si>
  <si>
    <t>Kosten für Übernachtung(en) und Selbstverpflegung sind betragsmäßig entsprechend einzutragen. Die Belege dazu sind dem Antrag beizulegen.</t>
  </si>
  <si>
    <t>Januar</t>
  </si>
  <si>
    <t>Februar</t>
  </si>
  <si>
    <t>Bei den angeführten Wochentagen ist die Normalarbeitszeit pro Tag einzugeben.</t>
  </si>
  <si>
    <t xml:space="preserve">     Gibt es weitere freie Tag(e) in der Woche, dann ist bei diesen der Wert   0,00    hineinzuschreiben.</t>
  </si>
  <si>
    <t>Funktion:</t>
  </si>
  <si>
    <t xml:space="preserve">     Beim Tag, der als Ersatzruhetag definiert wird, ist das Wort  Ersatzruhetag  hineinzuschreiben. (Gilt für PastoralassistenInnen, Pastoralhilfen und Pastoralbetreuer)</t>
  </si>
  <si>
    <t xml:space="preserve">     Dieser Wochentag sollte dann in den Monatsblättern färbig gekennzeichnet sein. Wenn das nicht der Fall ist, dann wurde das Wort Ersatzruhetag falsch geschrieben.</t>
  </si>
  <si>
    <t>19. März</t>
  </si>
  <si>
    <t>Dienstag nach Ostern</t>
  </si>
  <si>
    <t>MitarbeiterInnen der Zentralstellen:</t>
  </si>
  <si>
    <t>MitarbeiterInnen in pastoralen Einrichtungen:</t>
  </si>
  <si>
    <t>2. November</t>
  </si>
  <si>
    <t>24. Dezember</t>
  </si>
  <si>
    <t>31. Dezember</t>
  </si>
  <si>
    <t>Regelung der Dienstfreien Tage</t>
  </si>
  <si>
    <t>und unter Tätigkeiten "Dienstfreier Tag" zu vermerken.</t>
  </si>
  <si>
    <t>(Am zusätzlichen freien Tag ist in der ZK die Normalarbeitszeit zu schreiben</t>
  </si>
  <si>
    <t>Zusätzlicher mit dem Pfarrer zu vereinbarender Tag</t>
  </si>
  <si>
    <r>
      <t xml:space="preserve">Kirchenzeitung </t>
    </r>
    <r>
      <rPr>
        <sz val="10"/>
        <color indexed="55"/>
        <rFont val="Arial"/>
        <family val="2"/>
      </rPr>
      <t>(lt. Journalisten-KV)</t>
    </r>
  </si>
  <si>
    <t>Sonntag:</t>
  </si>
  <si>
    <r>
      <t>ï</t>
    </r>
    <r>
      <rPr>
        <sz val="7"/>
        <rFont val="Arial"/>
        <family val="2"/>
      </rPr>
      <t xml:space="preserve"> Bezeichnung der Dienststelle eingeben.</t>
    </r>
  </si>
  <si>
    <t>Ostersonntag</t>
  </si>
  <si>
    <t>Unmittelbarer Vorgesetzter</t>
  </si>
  <si>
    <t>Pfingstsonntag</t>
  </si>
  <si>
    <t xml:space="preserve">         OM = 3</t>
  </si>
  <si>
    <t>OM= Monat des Ostersonntags</t>
  </si>
  <si>
    <t>OT=Tag des Ostersonntags innerhalb des Monats.</t>
  </si>
  <si>
    <t>Bezeichnung der Dienststelle</t>
  </si>
  <si>
    <t>Vorname Familienname</t>
  </si>
  <si>
    <t>Angabe der Funktion</t>
  </si>
  <si>
    <r>
      <t>ï</t>
    </r>
    <r>
      <rPr>
        <sz val="8"/>
        <rFont val="Arial"/>
        <family val="2"/>
      </rPr>
      <t xml:space="preserve"> Z.B. 25 Tage = 5 Wochen  -  bei einer Wochenarbeitszeit von 38 h ergeben sich dann 190 h Urlaubsanspruch</t>
    </r>
  </si>
  <si>
    <t>Name des unmittelbaren Vorgesetzten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</si>
</sst>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#,##0.00&quot;  &quot;"/>
    <numFmt numFmtId="165" formatCode="0.00\ "/>
    <numFmt numFmtId="166" formatCode="0&quot;    &quot;"/>
    <numFmt numFmtId="167" formatCode="ddd&quot;, &quot;dd/mmm/yyyy"/>
    <numFmt numFmtId="168" formatCode="mmmm\ yyyy"/>
    <numFmt numFmtId="169" formatCode="0.00&quot; h&quot;"/>
    <numFmt numFmtId="170" formatCode="d/"/>
    <numFmt numFmtId="171" formatCode="ddd"/>
    <numFmt numFmtId="172" formatCode="0.00&quot;  &quot;"/>
    <numFmt numFmtId="173" formatCode="0.00&quot; h &quot;"/>
    <numFmt numFmtId="174" formatCode="#,##0&quot;  &quot;"/>
    <numFmt numFmtId="175" formatCode="&quot;&quot;;&quot;&quot;;&quot;&quot;;&quot;&quot;"/>
    <numFmt numFmtId="176" formatCode="0.00&quot;  h &quot;"/>
    <numFmt numFmtId="177" formatCode="#,###.00&quot;  h &quot;"/>
    <numFmt numFmtId="178" formatCode="#,##0.00\ "/>
    <numFmt numFmtId="179" formatCode="#,##0.00&quot; € &quot;"/>
    <numFmt numFmtId="180" formatCode="#,##0.00&quot; €&quot;"/>
    <numFmt numFmtId="181" formatCode="#,##0.00&quot; €   &quot;"/>
    <numFmt numFmtId="182" formatCode="#,##0.00&quot; km&quot;"/>
    <numFmt numFmtId="183" formatCode="0.00&quot;  h    &quot;"/>
    <numFmt numFmtId="184" formatCode="#,##0.00&quot;  h&quot;"/>
    <numFmt numFmtId="185" formatCode="#,##0.00&quot;  h    &quot;"/>
    <numFmt numFmtId="186" formatCode="0.00&quot;  h&quot;"/>
    <numFmt numFmtId="187" formatCode="#,##0.00&quot; Wochen&quot;"/>
    <numFmt numFmtId="188" formatCode="ddd/d"/>
    <numFmt numFmtId="189" formatCode="0.00&quot;          &quot;"/>
    <numFmt numFmtId="190" formatCode="#,###&quot;  h &quot;"/>
    <numFmt numFmtId="191" formatCode="ddd\,\ dd/mmm/yyyy"/>
  </numFmts>
  <fonts count="100"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8"/>
      <name val="Arial CE"/>
      <family val="2"/>
    </font>
    <font>
      <b/>
      <sz val="26"/>
      <name val="Arial CE"/>
      <family val="2"/>
    </font>
    <font>
      <b/>
      <sz val="20"/>
      <name val="Arial CE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7"/>
      <name val="Wingdings"/>
      <charset val="2"/>
    </font>
    <font>
      <sz val="7"/>
      <name val="Arial"/>
      <family val="2"/>
    </font>
    <font>
      <b/>
      <i/>
      <sz val="14"/>
      <name val="Arial CE"/>
      <family val="2"/>
    </font>
    <font>
      <b/>
      <sz val="14"/>
      <name val="Arial CE"/>
      <family val="2"/>
    </font>
    <font>
      <sz val="7"/>
      <color indexed="23"/>
      <name val="Arial"/>
      <family val="2"/>
    </font>
    <font>
      <b/>
      <i/>
      <sz val="20"/>
      <name val="Arial CE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8"/>
      <color indexed="22"/>
      <name val="Arial"/>
      <family val="2"/>
    </font>
    <font>
      <sz val="8"/>
      <color indexed="22"/>
      <name val="Arial Unicode MS"/>
      <family val="2"/>
    </font>
    <font>
      <sz val="11"/>
      <name val="Arial"/>
      <family val="2"/>
    </font>
    <font>
      <sz val="8"/>
      <name val="Wingdings"/>
      <charset val="2"/>
    </font>
    <font>
      <b/>
      <sz val="14"/>
      <color indexed="10"/>
      <name val="Arial"/>
      <family val="2"/>
    </font>
    <font>
      <b/>
      <sz val="7"/>
      <color indexed="22"/>
      <name val="Arial"/>
      <family val="2"/>
    </font>
    <font>
      <sz val="8"/>
      <color indexed="10"/>
      <name val="Arial"/>
      <family val="2"/>
    </font>
    <font>
      <sz val="14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7"/>
      <color indexed="22"/>
      <name val="Arial"/>
      <family val="2"/>
    </font>
    <font>
      <b/>
      <u/>
      <sz val="11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4"/>
      <name val="Wingdings"/>
      <charset val="2"/>
    </font>
    <font>
      <b/>
      <sz val="11"/>
      <color indexed="12"/>
      <name val="Arial"/>
      <family val="2"/>
    </font>
    <font>
      <i/>
      <sz val="12"/>
      <name val="Arial CE"/>
      <family val="2"/>
    </font>
    <font>
      <b/>
      <u/>
      <sz val="10"/>
      <name val="Arial"/>
      <family val="2"/>
    </font>
    <font>
      <i/>
      <sz val="8"/>
      <name val="Arial CE"/>
      <family val="2"/>
    </font>
    <font>
      <b/>
      <sz val="10"/>
      <color indexed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1"/>
      <color indexed="10"/>
      <name val="Arial CE"/>
      <family val="2"/>
    </font>
    <font>
      <b/>
      <sz val="11"/>
      <name val="Arial CE"/>
      <family val="2"/>
    </font>
    <font>
      <sz val="8"/>
      <name val="Arial CE"/>
      <family val="2"/>
    </font>
    <font>
      <b/>
      <sz val="10"/>
      <color indexed="10"/>
      <name val="Wingdings"/>
      <charset val="2"/>
    </font>
    <font>
      <b/>
      <i/>
      <sz val="8"/>
      <name val="Arial CE"/>
      <family val="2"/>
    </font>
    <font>
      <b/>
      <sz val="8"/>
      <color indexed="12"/>
      <name val="Arial CE"/>
      <family val="2"/>
    </font>
    <font>
      <b/>
      <i/>
      <sz val="8"/>
      <color indexed="12"/>
      <name val="Arial CE"/>
      <family val="2"/>
    </font>
    <font>
      <sz val="10"/>
      <color indexed="10"/>
      <name val="Arial"/>
      <family val="2"/>
    </font>
    <font>
      <b/>
      <sz val="8"/>
      <name val="Arial CE"/>
      <family val="2"/>
    </font>
    <font>
      <sz val="7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u/>
      <sz val="10"/>
      <name val="Arial"/>
      <family val="2"/>
    </font>
    <font>
      <sz val="10"/>
      <name val="Wingdings 2"/>
      <family val="1"/>
      <charset val="2"/>
    </font>
    <font>
      <b/>
      <sz val="9"/>
      <name val="Arial"/>
      <family val="2"/>
    </font>
    <font>
      <sz val="4"/>
      <name val="Arial"/>
      <family val="2"/>
    </font>
    <font>
      <b/>
      <sz val="4"/>
      <name val="Arial"/>
      <family val="2"/>
    </font>
    <font>
      <sz val="4"/>
      <color indexed="23"/>
      <name val="Arial"/>
      <family val="2"/>
    </font>
    <font>
      <b/>
      <sz val="7"/>
      <color indexed="17"/>
      <name val="Arial"/>
      <family val="2"/>
    </font>
    <font>
      <b/>
      <u/>
      <sz val="8"/>
      <name val="Arial"/>
      <family val="2"/>
    </font>
    <font>
      <sz val="6"/>
      <name val="Arial"/>
      <family val="2"/>
    </font>
    <font>
      <b/>
      <vertAlign val="superscript"/>
      <sz val="12"/>
      <name val="Arial"/>
      <family val="2"/>
    </font>
    <font>
      <sz val="10"/>
      <color indexed="9"/>
      <name val="Arial"/>
      <family val="2"/>
    </font>
    <font>
      <sz val="7.5"/>
      <color indexed="12"/>
      <name val="Arial"/>
      <family val="2"/>
    </font>
    <font>
      <b/>
      <sz val="7.5"/>
      <color indexed="16"/>
      <name val="Arial"/>
      <family val="2"/>
    </font>
    <font>
      <b/>
      <sz val="8"/>
      <color indexed="8"/>
      <name val="Arial"/>
      <family val="2"/>
    </font>
    <font>
      <sz val="7"/>
      <color indexed="21"/>
      <name val="Arial"/>
      <family val="2"/>
    </font>
    <font>
      <sz val="8"/>
      <color indexed="9"/>
      <name val="Arial"/>
      <family val="2"/>
    </font>
    <font>
      <sz val="7.5"/>
      <name val="Arial"/>
      <family val="2"/>
    </font>
    <font>
      <b/>
      <sz val="10"/>
      <color indexed="17"/>
      <name val="Arial"/>
      <family val="2"/>
    </font>
    <font>
      <b/>
      <sz val="14"/>
      <color indexed="23"/>
      <name val="Arial"/>
      <family val="2"/>
    </font>
    <font>
      <b/>
      <sz val="11"/>
      <color indexed="23"/>
      <name val="Arial"/>
      <family val="2"/>
    </font>
    <font>
      <b/>
      <sz val="12"/>
      <color indexed="23"/>
      <name val="Arial"/>
      <family val="2"/>
    </font>
    <font>
      <sz val="10"/>
      <color indexed="23"/>
      <name val="Arial"/>
      <family val="2"/>
    </font>
    <font>
      <sz val="7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sz val="12"/>
      <color indexed="20"/>
      <name val="Arial"/>
      <family val="2"/>
    </font>
    <font>
      <b/>
      <sz val="8"/>
      <color indexed="57"/>
      <name val="Arial"/>
      <family val="2"/>
    </font>
    <font>
      <sz val="12"/>
      <color indexed="57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2"/>
      <name val="Arial"/>
      <family val="2"/>
    </font>
    <font>
      <sz val="8"/>
      <color indexed="22"/>
      <name val="Arial Unicode MS"/>
      <family val="2"/>
    </font>
    <font>
      <b/>
      <sz val="11"/>
      <name val="Arial CE"/>
      <family val="2"/>
      <charset val="238"/>
    </font>
    <font>
      <b/>
      <sz val="11"/>
      <name val="Arial"/>
      <family val="2"/>
    </font>
    <font>
      <sz val="8"/>
      <name val="Arial CE"/>
    </font>
    <font>
      <i/>
      <sz val="8"/>
      <name val="Arial CE"/>
    </font>
    <font>
      <sz val="8"/>
      <name val="Arial"/>
      <family val="2"/>
    </font>
    <font>
      <sz val="8"/>
      <name val="Arial CE"/>
      <family val="2"/>
      <charset val="238"/>
    </font>
    <font>
      <b/>
      <sz val="8"/>
      <name val="Arial CE"/>
    </font>
    <font>
      <b/>
      <i/>
      <sz val="8"/>
      <name val="Arial CE"/>
    </font>
    <font>
      <sz val="7"/>
      <color indexed="23"/>
      <name val="Arial"/>
      <family val="2"/>
    </font>
    <font>
      <sz val="8"/>
      <color indexed="23"/>
      <name val="Arial"/>
      <family val="2"/>
    </font>
    <font>
      <sz val="8"/>
      <color indexed="22"/>
      <name val="Arial"/>
      <family val="2"/>
    </font>
    <font>
      <sz val="10"/>
      <color indexed="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11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12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12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2"/>
      </left>
      <right style="medium">
        <color indexed="12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hair">
        <color indexed="8"/>
      </left>
      <right/>
      <top style="medium">
        <color indexed="12"/>
      </top>
      <bottom/>
      <diagonal/>
    </border>
    <border>
      <left style="medium">
        <color indexed="12"/>
      </left>
      <right style="thin">
        <color indexed="8"/>
      </right>
      <top style="medium">
        <color indexed="12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2" borderId="1" xfId="1" applyFont="1" applyFill="1" applyBorder="1" applyAlignment="1">
      <alignment horizontal="left"/>
    </xf>
    <xf numFmtId="0" fontId="4" fillId="2" borderId="2" xfId="1" applyFont="1" applyFill="1" applyBorder="1"/>
    <xf numFmtId="0" fontId="5" fillId="2" borderId="2" xfId="1" applyFont="1" applyFill="1" applyBorder="1"/>
    <xf numFmtId="0" fontId="6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4" fillId="0" borderId="0" xfId="1" applyFont="1" applyAlignment="1">
      <alignment horizontal="right"/>
    </xf>
    <xf numFmtId="0" fontId="4" fillId="0" borderId="0" xfId="1" applyFont="1"/>
    <xf numFmtId="0" fontId="7" fillId="2" borderId="4" xfId="0" applyFont="1" applyFill="1" applyBorder="1" applyProtection="1">
      <protection locked="0"/>
    </xf>
    <xf numFmtId="0" fontId="0" fillId="2" borderId="0" xfId="0" applyFill="1"/>
    <xf numFmtId="0" fontId="8" fillId="2" borderId="0" xfId="0" applyFont="1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0" fillId="0" borderId="0" xfId="1" applyFont="1" applyAlignment="1">
      <alignment horizontal="left"/>
    </xf>
    <xf numFmtId="0" fontId="10" fillId="0" borderId="0" xfId="1" applyFont="1"/>
    <xf numFmtId="1" fontId="11" fillId="0" borderId="9" xfId="1" applyNumberFormat="1" applyFont="1" applyBorder="1" applyAlignment="1">
      <alignment horizontal="center"/>
    </xf>
    <xf numFmtId="0" fontId="12" fillId="0" borderId="0" xfId="0" applyFo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2" borderId="10" xfId="0" applyFont="1" applyFill="1" applyBorder="1" applyAlignment="1">
      <alignment horizontal="left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" fontId="18" fillId="0" borderId="0" xfId="0" applyNumberFormat="1" applyFont="1"/>
    <xf numFmtId="0" fontId="19" fillId="0" borderId="0" xfId="0" applyFont="1"/>
    <xf numFmtId="164" fontId="14" fillId="2" borderId="9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" fillId="2" borderId="11" xfId="0" applyFont="1" applyFill="1" applyBorder="1" applyAlignment="1">
      <alignment horizontal="left"/>
    </xf>
    <xf numFmtId="164" fontId="24" fillId="2" borderId="12" xfId="0" applyNumberFormat="1" applyFont="1" applyFill="1" applyBorder="1"/>
    <xf numFmtId="0" fontId="23" fillId="0" borderId="0" xfId="0" applyFont="1" applyAlignment="1">
      <alignment horizontal="center"/>
    </xf>
    <xf numFmtId="0" fontId="6" fillId="0" borderId="0" xfId="0" applyFont="1"/>
    <xf numFmtId="164" fontId="24" fillId="2" borderId="13" xfId="0" applyNumberFormat="1" applyFont="1" applyFill="1" applyBorder="1"/>
    <xf numFmtId="164" fontId="15" fillId="3" borderId="9" xfId="0" applyNumberFormat="1" applyFont="1" applyFill="1" applyBorder="1"/>
    <xf numFmtId="0" fontId="18" fillId="0" borderId="0" xfId="0" applyFont="1"/>
    <xf numFmtId="4" fontId="22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left"/>
    </xf>
    <xf numFmtId="0" fontId="27" fillId="0" borderId="0" xfId="0" applyFont="1"/>
    <xf numFmtId="0" fontId="2" fillId="2" borderId="11" xfId="0" applyFont="1" applyFill="1" applyBorder="1"/>
    <xf numFmtId="164" fontId="28" fillId="2" borderId="13" xfId="0" applyNumberFormat="1" applyFont="1" applyFill="1" applyBorder="1"/>
    <xf numFmtId="0" fontId="15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" fillId="2" borderId="14" xfId="0" applyFont="1" applyFill="1" applyBorder="1"/>
    <xf numFmtId="164" fontId="16" fillId="2" borderId="15" xfId="0" applyNumberFormat="1" applyFont="1" applyFill="1" applyBorder="1"/>
    <xf numFmtId="0" fontId="30" fillId="0" borderId="0" xfId="0" applyFont="1"/>
    <xf numFmtId="0" fontId="9" fillId="0" borderId="16" xfId="0" applyFont="1" applyBorder="1"/>
    <xf numFmtId="0" fontId="9" fillId="0" borderId="17" xfId="0" applyFont="1" applyBorder="1"/>
    <xf numFmtId="0" fontId="31" fillId="0" borderId="0" xfId="0" applyFont="1" applyAlignment="1">
      <alignment horizontal="left"/>
    </xf>
    <xf numFmtId="165" fontId="9" fillId="0" borderId="17" xfId="0" applyNumberFormat="1" applyFont="1" applyBorder="1"/>
    <xf numFmtId="0" fontId="20" fillId="0" borderId="0" xfId="0" applyFont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0" xfId="0" applyFont="1"/>
    <xf numFmtId="0" fontId="33" fillId="0" borderId="0" xfId="0" applyFont="1"/>
    <xf numFmtId="0" fontId="2" fillId="0" borderId="0" xfId="0" applyFont="1" applyAlignment="1">
      <alignment horizontal="center"/>
    </xf>
    <xf numFmtId="0" fontId="34" fillId="0" borderId="0" xfId="0" applyFont="1"/>
    <xf numFmtId="0" fontId="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15" fillId="0" borderId="0" xfId="0" applyFont="1"/>
    <xf numFmtId="164" fontId="15" fillId="0" borderId="0" xfId="0" applyNumberFormat="1" applyFont="1"/>
    <xf numFmtId="0" fontId="35" fillId="0" borderId="0" xfId="1" applyFont="1" applyAlignment="1">
      <alignment horizontal="right"/>
    </xf>
    <xf numFmtId="0" fontId="36" fillId="0" borderId="0" xfId="0" applyFont="1"/>
    <xf numFmtId="0" fontId="37" fillId="0" borderId="0" xfId="1" applyFont="1" applyAlignment="1">
      <alignment horizontal="right"/>
    </xf>
    <xf numFmtId="0" fontId="38" fillId="2" borderId="18" xfId="0" applyFont="1" applyFill="1" applyBorder="1" applyAlignment="1" applyProtection="1">
      <alignment horizontal="center"/>
      <protection locked="0"/>
    </xf>
    <xf numFmtId="166" fontId="39" fillId="0" borderId="0" xfId="0" applyNumberFormat="1" applyFont="1"/>
    <xf numFmtId="0" fontId="39" fillId="0" borderId="0" xfId="0" applyFont="1"/>
    <xf numFmtId="0" fontId="40" fillId="0" borderId="0" xfId="0" applyFont="1"/>
    <xf numFmtId="0" fontId="24" fillId="0" borderId="0" xfId="0" applyFont="1"/>
    <xf numFmtId="0" fontId="2" fillId="0" borderId="0" xfId="0" applyFont="1" applyAlignment="1">
      <alignment horizontal="right"/>
    </xf>
    <xf numFmtId="0" fontId="38" fillId="0" borderId="0" xfId="0" applyFont="1"/>
    <xf numFmtId="0" fontId="38" fillId="2" borderId="16" xfId="0" applyFont="1" applyFill="1" applyBorder="1" applyProtection="1">
      <protection locked="0"/>
    </xf>
    <xf numFmtId="0" fontId="0" fillId="2" borderId="19" xfId="0" applyFill="1" applyBorder="1"/>
    <xf numFmtId="0" fontId="0" fillId="2" borderId="17" xfId="0" applyFill="1" applyBorder="1"/>
    <xf numFmtId="0" fontId="41" fillId="0" borderId="0" xfId="1" applyFont="1"/>
    <xf numFmtId="0" fontId="42" fillId="0" borderId="20" xfId="1" applyFont="1" applyBorder="1"/>
    <xf numFmtId="0" fontId="0" fillId="0" borderId="20" xfId="0" applyBorder="1"/>
    <xf numFmtId="0" fontId="15" fillId="0" borderId="20" xfId="0" applyFont="1" applyBorder="1"/>
    <xf numFmtId="0" fontId="43" fillId="0" borderId="0" xfId="1" applyFont="1"/>
    <xf numFmtId="167" fontId="43" fillId="0" borderId="0" xfId="1" applyNumberFormat="1" applyFont="1" applyAlignment="1">
      <alignment horizontal="left"/>
    </xf>
    <xf numFmtId="0" fontId="44" fillId="0" borderId="0" xfId="0" applyFont="1" applyAlignment="1">
      <alignment horizontal="center"/>
    </xf>
    <xf numFmtId="0" fontId="45" fillId="0" borderId="0" xfId="1" applyFont="1" applyAlignment="1">
      <alignment horizontal="right"/>
    </xf>
    <xf numFmtId="0" fontId="0" fillId="0" borderId="0" xfId="0" applyAlignment="1">
      <alignment horizontal="center"/>
    </xf>
    <xf numFmtId="167" fontId="46" fillId="0" borderId="0" xfId="1" applyNumberFormat="1" applyFont="1" applyAlignment="1">
      <alignment horizontal="left"/>
    </xf>
    <xf numFmtId="0" fontId="47" fillId="0" borderId="0" xfId="1" applyFont="1" applyAlignment="1">
      <alignment horizontal="right"/>
    </xf>
    <xf numFmtId="0" fontId="46" fillId="0" borderId="0" xfId="1" applyFont="1"/>
    <xf numFmtId="0" fontId="48" fillId="0" borderId="0" xfId="0" applyFont="1" applyAlignment="1">
      <alignment horizontal="center"/>
    </xf>
    <xf numFmtId="167" fontId="49" fillId="0" borderId="0" xfId="1" applyNumberFormat="1" applyFont="1" applyAlignment="1">
      <alignment horizontal="left"/>
    </xf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0" applyFont="1"/>
    <xf numFmtId="16" fontId="43" fillId="0" borderId="0" xfId="1" applyNumberFormat="1" applyFont="1" applyAlignment="1">
      <alignment horizontal="left"/>
    </xf>
    <xf numFmtId="16" fontId="46" fillId="0" borderId="0" xfId="1" applyNumberFormat="1" applyFont="1" applyAlignment="1">
      <alignment horizontal="left"/>
    </xf>
    <xf numFmtId="16" fontId="43" fillId="0" borderId="0" xfId="1" applyNumberFormat="1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6" fillId="0" borderId="20" xfId="0" applyFont="1" applyBorder="1"/>
    <xf numFmtId="0" fontId="56" fillId="0" borderId="0" xfId="0" applyFont="1"/>
    <xf numFmtId="0" fontId="6" fillId="4" borderId="9" xfId="0" applyFont="1" applyFill="1" applyBorder="1" applyAlignment="1" applyProtection="1">
      <alignment horizontal="center"/>
      <protection locked="0"/>
    </xf>
    <xf numFmtId="0" fontId="56" fillId="0" borderId="0" xfId="0" applyFont="1" applyAlignment="1">
      <alignment horizontal="left"/>
    </xf>
    <xf numFmtId="0" fontId="16" fillId="0" borderId="0" xfId="0" applyFont="1"/>
    <xf numFmtId="4" fontId="6" fillId="4" borderId="9" xfId="0" applyNumberFormat="1" applyFont="1" applyFill="1" applyBorder="1" applyAlignment="1" applyProtection="1">
      <alignment horizontal="center"/>
      <protection locked="0"/>
    </xf>
    <xf numFmtId="0" fontId="0" fillId="4" borderId="21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57" fillId="0" borderId="0" xfId="0" applyFont="1"/>
    <xf numFmtId="0" fontId="54" fillId="2" borderId="0" xfId="0" applyFont="1" applyFill="1"/>
    <xf numFmtId="0" fontId="55" fillId="2" borderId="0" xfId="0" applyFont="1" applyFill="1"/>
    <xf numFmtId="0" fontId="6" fillId="4" borderId="9" xfId="0" applyFont="1" applyFill="1" applyBorder="1" applyAlignment="1">
      <alignment horizontal="center"/>
    </xf>
    <xf numFmtId="4" fontId="6" fillId="4" borderId="9" xfId="0" applyNumberFormat="1" applyFont="1" applyFill="1" applyBorder="1" applyAlignment="1">
      <alignment horizontal="center"/>
    </xf>
    <xf numFmtId="0" fontId="58" fillId="0" borderId="0" xfId="0" applyFont="1"/>
    <xf numFmtId="0" fontId="9" fillId="0" borderId="0" xfId="0" applyFont="1" applyAlignment="1">
      <alignment horizontal="right"/>
    </xf>
    <xf numFmtId="0" fontId="59" fillId="0" borderId="0" xfId="0" applyFont="1"/>
    <xf numFmtId="0" fontId="59" fillId="0" borderId="0" xfId="0" applyFont="1" applyAlignment="1">
      <alignment horizontal="center"/>
    </xf>
    <xf numFmtId="0" fontId="60" fillId="0" borderId="0" xfId="0" applyFont="1"/>
    <xf numFmtId="0" fontId="61" fillId="0" borderId="0" xfId="0" applyFont="1" applyAlignment="1">
      <alignment horizontal="center"/>
    </xf>
    <xf numFmtId="0" fontId="61" fillId="0" borderId="0" xfId="0" applyFont="1"/>
    <xf numFmtId="0" fontId="32" fillId="5" borderId="0" xfId="0" applyFont="1" applyFill="1"/>
    <xf numFmtId="168" fontId="6" fillId="5" borderId="0" xfId="0" applyNumberFormat="1" applyFont="1" applyFill="1" applyAlignment="1">
      <alignment horizontal="right"/>
    </xf>
    <xf numFmtId="168" fontId="31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6" fillId="5" borderId="0" xfId="0" applyFont="1" applyFill="1"/>
    <xf numFmtId="0" fontId="15" fillId="5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169" fontId="9" fillId="5" borderId="0" xfId="0" applyNumberFormat="1" applyFont="1" applyFill="1" applyAlignment="1">
      <alignment horizontal="left"/>
    </xf>
    <xf numFmtId="169" fontId="9" fillId="5" borderId="0" xfId="0" applyNumberFormat="1" applyFont="1" applyFill="1"/>
    <xf numFmtId="169" fontId="62" fillId="5" borderId="0" xfId="0" applyNumberFormat="1" applyFont="1" applyFill="1" applyAlignment="1">
      <alignment horizontal="left"/>
    </xf>
    <xf numFmtId="0" fontId="62" fillId="0" borderId="0" xfId="0" applyFont="1" applyAlignment="1">
      <alignment horizontal="left"/>
    </xf>
    <xf numFmtId="0" fontId="62" fillId="0" borderId="0" xfId="0" applyFont="1"/>
    <xf numFmtId="0" fontId="64" fillId="0" borderId="1" xfId="0" applyFont="1" applyBorder="1" applyAlignment="1">
      <alignment horizontal="center" shrinkToFit="1"/>
    </xf>
    <xf numFmtId="0" fontId="16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49" fontId="16" fillId="2" borderId="24" xfId="0" applyNumberFormat="1" applyFont="1" applyFill="1" applyBorder="1" applyAlignment="1">
      <alignment horizontal="center"/>
    </xf>
    <xf numFmtId="0" fontId="64" fillId="0" borderId="4" xfId="0" applyFont="1" applyBorder="1" applyAlignment="1">
      <alignment horizontal="center" shrinkToFit="1"/>
    </xf>
    <xf numFmtId="0" fontId="58" fillId="0" borderId="25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66" fillId="0" borderId="0" xfId="0" applyFont="1"/>
    <xf numFmtId="170" fontId="2" fillId="0" borderId="16" xfId="0" applyNumberFormat="1" applyFont="1" applyBorder="1" applyAlignment="1">
      <alignment horizontal="center"/>
    </xf>
    <xf numFmtId="171" fontId="2" fillId="0" borderId="16" xfId="0" applyNumberFormat="1" applyFont="1" applyBorder="1" applyAlignment="1">
      <alignment horizontal="left"/>
    </xf>
    <xf numFmtId="2" fontId="64" fillId="0" borderId="19" xfId="0" applyNumberFormat="1" applyFont="1" applyBorder="1" applyAlignment="1">
      <alignment horizontal="left"/>
    </xf>
    <xf numFmtId="172" fontId="52" fillId="0" borderId="26" xfId="0" applyNumberFormat="1" applyFont="1" applyBorder="1" applyProtection="1">
      <protection locked="0"/>
    </xf>
    <xf numFmtId="172" fontId="52" fillId="0" borderId="27" xfId="0" applyNumberFormat="1" applyFont="1" applyBorder="1" applyProtection="1">
      <protection locked="0"/>
    </xf>
    <xf numFmtId="165" fontId="67" fillId="0" borderId="28" xfId="0" applyNumberFormat="1" applyFont="1" applyBorder="1" applyProtection="1">
      <protection locked="0"/>
    </xf>
    <xf numFmtId="165" fontId="67" fillId="0" borderId="27" xfId="0" applyNumberFormat="1" applyFont="1" applyBorder="1" applyProtection="1">
      <protection locked="0"/>
    </xf>
    <xf numFmtId="165" fontId="67" fillId="0" borderId="29" xfId="0" applyNumberFormat="1" applyFont="1" applyBorder="1" applyProtection="1">
      <protection locked="0"/>
    </xf>
    <xf numFmtId="165" fontId="68" fillId="0" borderId="29" xfId="0" applyNumberFormat="1" applyFont="1" applyBorder="1" applyProtection="1">
      <protection locked="0"/>
    </xf>
    <xf numFmtId="165" fontId="52" fillId="0" borderId="29" xfId="0" applyNumberFormat="1" applyFont="1" applyBorder="1" applyAlignment="1" applyProtection="1">
      <alignment horizontal="right"/>
      <protection locked="0"/>
    </xf>
    <xf numFmtId="165" fontId="52" fillId="0" borderId="27" xfId="0" applyNumberFormat="1" applyFont="1" applyBorder="1" applyAlignment="1" applyProtection="1">
      <alignment horizontal="right"/>
      <protection locked="0"/>
    </xf>
    <xf numFmtId="165" fontId="9" fillId="0" borderId="30" xfId="0" applyNumberFormat="1" applyFont="1" applyBorder="1" applyAlignment="1">
      <alignment horizontal="right"/>
    </xf>
    <xf numFmtId="165" fontId="9" fillId="0" borderId="31" xfId="0" applyNumberFormat="1" applyFont="1" applyBorder="1" applyAlignment="1">
      <alignment horizontal="right"/>
    </xf>
    <xf numFmtId="173" fontId="16" fillId="0" borderId="32" xfId="0" applyNumberFormat="1" applyFont="1" applyBorder="1"/>
    <xf numFmtId="173" fontId="16" fillId="0" borderId="0" xfId="0" applyNumberFormat="1" applyFont="1"/>
    <xf numFmtId="165" fontId="9" fillId="0" borderId="33" xfId="0" applyNumberFormat="1" applyFont="1" applyBorder="1" applyAlignment="1">
      <alignment horizontal="right"/>
    </xf>
    <xf numFmtId="165" fontId="9" fillId="0" borderId="34" xfId="0" applyNumberFormat="1" applyFont="1" applyBorder="1" applyAlignment="1">
      <alignment horizontal="right"/>
    </xf>
    <xf numFmtId="14" fontId="0" fillId="0" borderId="0" xfId="0" applyNumberFormat="1"/>
    <xf numFmtId="0" fontId="0" fillId="5" borderId="0" xfId="0" applyFill="1"/>
    <xf numFmtId="0" fontId="16" fillId="0" borderId="16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6" fillId="0" borderId="19" xfId="0" applyFont="1" applyBorder="1" applyAlignment="1">
      <alignment horizontal="center"/>
    </xf>
    <xf numFmtId="165" fontId="9" fillId="0" borderId="35" xfId="0" applyNumberFormat="1" applyFont="1" applyBorder="1" applyAlignment="1">
      <alignment horizontal="right"/>
    </xf>
    <xf numFmtId="165" fontId="9" fillId="0" borderId="36" xfId="0" applyNumberFormat="1" applyFont="1" applyBorder="1" applyAlignment="1">
      <alignment horizontal="right"/>
    </xf>
    <xf numFmtId="173" fontId="69" fillId="0" borderId="37" xfId="0" applyNumberFormat="1" applyFont="1" applyBorder="1"/>
    <xf numFmtId="173" fontId="69" fillId="0" borderId="0" xfId="0" applyNumberFormat="1" applyFont="1"/>
    <xf numFmtId="0" fontId="70" fillId="0" borderId="38" xfId="0" applyFont="1" applyBorder="1"/>
    <xf numFmtId="0" fontId="24" fillId="0" borderId="38" xfId="0" applyFont="1" applyBorder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75" fontId="2" fillId="0" borderId="0" xfId="0" applyNumberFormat="1" applyFont="1"/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176" fontId="16" fillId="0" borderId="0" xfId="0" applyNumberFormat="1" applyFont="1"/>
    <xf numFmtId="176" fontId="16" fillId="0" borderId="0" xfId="0" applyNumberFormat="1" applyFont="1" applyAlignment="1">
      <alignment horizontal="right"/>
    </xf>
    <xf numFmtId="176" fontId="52" fillId="0" borderId="0" xfId="0" applyNumberFormat="1" applyFont="1"/>
    <xf numFmtId="177" fontId="2" fillId="0" borderId="0" xfId="0" applyNumberFormat="1" applyFont="1"/>
    <xf numFmtId="169" fontId="71" fillId="0" borderId="0" xfId="0" applyNumberFormat="1" applyFont="1" applyAlignment="1">
      <alignment horizontal="center"/>
    </xf>
    <xf numFmtId="177" fontId="16" fillId="0" borderId="0" xfId="0" applyNumberFormat="1" applyFont="1"/>
    <xf numFmtId="0" fontId="64" fillId="0" borderId="0" xfId="0" applyFont="1"/>
    <xf numFmtId="172" fontId="52" fillId="0" borderId="26" xfId="0" applyNumberFormat="1" applyFont="1" applyBorder="1"/>
    <xf numFmtId="172" fontId="52" fillId="0" borderId="27" xfId="0" applyNumberFormat="1" applyFont="1" applyBorder="1"/>
    <xf numFmtId="165" fontId="67" fillId="0" borderId="28" xfId="0" applyNumberFormat="1" applyFont="1" applyBorder="1"/>
    <xf numFmtId="165" fontId="67" fillId="0" borderId="27" xfId="0" applyNumberFormat="1" applyFont="1" applyBorder="1"/>
    <xf numFmtId="165" fontId="67" fillId="0" borderId="39" xfId="0" applyNumberFormat="1" applyFont="1" applyBorder="1"/>
    <xf numFmtId="165" fontId="67" fillId="0" borderId="40" xfId="0" applyNumberFormat="1" applyFont="1" applyBorder="1"/>
    <xf numFmtId="165" fontId="68" fillId="0" borderId="40" xfId="0" applyNumberFormat="1" applyFont="1" applyBorder="1"/>
    <xf numFmtId="165" fontId="52" fillId="0" borderId="40" xfId="0" applyNumberFormat="1" applyFont="1" applyBorder="1" applyAlignment="1">
      <alignment horizontal="right"/>
    </xf>
    <xf numFmtId="165" fontId="52" fillId="0" borderId="41" xfId="0" applyNumberFormat="1" applyFont="1" applyBorder="1" applyAlignment="1">
      <alignment horizontal="right"/>
    </xf>
    <xf numFmtId="0" fontId="70" fillId="0" borderId="0" xfId="0" applyFont="1" applyAlignment="1">
      <alignment horizontal="left"/>
    </xf>
    <xf numFmtId="0" fontId="70" fillId="0" borderId="0" xfId="0" applyFont="1" applyAlignment="1">
      <alignment horizontal="center"/>
    </xf>
    <xf numFmtId="0" fontId="17" fillId="0" borderId="0" xfId="0" applyFont="1"/>
    <xf numFmtId="0" fontId="58" fillId="0" borderId="0" xfId="0" applyFont="1" applyAlignment="1">
      <alignment horizontal="left"/>
    </xf>
    <xf numFmtId="0" fontId="16" fillId="0" borderId="42" xfId="0" applyFont="1" applyBorder="1"/>
    <xf numFmtId="0" fontId="16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16" fillId="0" borderId="46" xfId="0" applyFont="1" applyBorder="1"/>
    <xf numFmtId="0" fontId="16" fillId="0" borderId="47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6" fillId="2" borderId="46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64" fillId="0" borderId="52" xfId="0" applyFont="1" applyBorder="1" applyAlignment="1">
      <alignment horizontal="center"/>
    </xf>
    <xf numFmtId="14" fontId="2" fillId="0" borderId="53" xfId="0" applyNumberFormat="1" applyFont="1" applyBorder="1" applyAlignment="1" applyProtection="1">
      <alignment horizontal="left"/>
      <protection locked="0"/>
    </xf>
    <xf numFmtId="49" fontId="2" fillId="0" borderId="54" xfId="0" applyNumberFormat="1" applyFont="1" applyBorder="1" applyAlignment="1" applyProtection="1">
      <alignment horizontal="right"/>
      <protection locked="0"/>
    </xf>
    <xf numFmtId="49" fontId="2" fillId="0" borderId="55" xfId="0" applyNumberFormat="1" applyFont="1" applyBorder="1" applyAlignment="1" applyProtection="1">
      <alignment horizontal="right"/>
      <protection locked="0"/>
    </xf>
    <xf numFmtId="0" fontId="2" fillId="0" borderId="56" xfId="0" applyFont="1" applyBorder="1" applyAlignment="1" applyProtection="1">
      <alignment horizontal="left"/>
      <protection locked="0"/>
    </xf>
    <xf numFmtId="174" fontId="2" fillId="0" borderId="57" xfId="0" applyNumberFormat="1" applyFont="1" applyBorder="1" applyAlignment="1" applyProtection="1">
      <alignment horizontal="right"/>
      <protection locked="0"/>
    </xf>
    <xf numFmtId="174" fontId="2" fillId="0" borderId="58" xfId="0" applyNumberFormat="1" applyFont="1" applyBorder="1" applyAlignment="1" applyProtection="1">
      <alignment horizontal="center"/>
      <protection locked="0"/>
    </xf>
    <xf numFmtId="178" fontId="2" fillId="2" borderId="53" xfId="0" applyNumberFormat="1" applyFont="1" applyFill="1" applyBorder="1" applyProtection="1">
      <protection locked="0"/>
    </xf>
    <xf numFmtId="178" fontId="2" fillId="0" borderId="58" xfId="0" applyNumberFormat="1" applyFont="1" applyBorder="1" applyProtection="1">
      <protection locked="0"/>
    </xf>
    <xf numFmtId="179" fontId="2" fillId="0" borderId="58" xfId="0" applyNumberFormat="1" applyFont="1" applyBorder="1" applyProtection="1">
      <protection locked="0"/>
    </xf>
    <xf numFmtId="14" fontId="2" fillId="0" borderId="59" xfId="0" applyNumberFormat="1" applyFont="1" applyBorder="1" applyAlignment="1" applyProtection="1">
      <alignment horizontal="left"/>
      <protection locked="0"/>
    </xf>
    <xf numFmtId="49" fontId="2" fillId="0" borderId="16" xfId="0" applyNumberFormat="1" applyFont="1" applyBorder="1" applyAlignment="1" applyProtection="1">
      <alignment horizontal="right"/>
      <protection locked="0"/>
    </xf>
    <xf numFmtId="49" fontId="2" fillId="0" borderId="60" xfId="0" applyNumberFormat="1" applyFont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horizontal="left"/>
      <protection locked="0"/>
    </xf>
    <xf numFmtId="174" fontId="2" fillId="0" borderId="27" xfId="0" applyNumberFormat="1" applyFont="1" applyBorder="1" applyAlignment="1" applyProtection="1">
      <alignment horizontal="right"/>
      <protection locked="0"/>
    </xf>
    <xf numFmtId="174" fontId="2" fillId="0" borderId="61" xfId="0" applyNumberFormat="1" applyFont="1" applyBorder="1" applyAlignment="1" applyProtection="1">
      <alignment horizontal="center"/>
      <protection locked="0"/>
    </xf>
    <xf numFmtId="178" fontId="2" fillId="2" borderId="59" xfId="0" applyNumberFormat="1" applyFont="1" applyFill="1" applyBorder="1" applyProtection="1">
      <protection locked="0"/>
    </xf>
    <xf numFmtId="178" fontId="2" fillId="0" borderId="61" xfId="0" applyNumberFormat="1" applyFont="1" applyBorder="1" applyProtection="1">
      <protection locked="0"/>
    </xf>
    <xf numFmtId="179" fontId="2" fillId="0" borderId="61" xfId="0" applyNumberFormat="1" applyFont="1" applyBorder="1" applyProtection="1">
      <protection locked="0"/>
    </xf>
    <xf numFmtId="14" fontId="2" fillId="0" borderId="62" xfId="0" applyNumberFormat="1" applyFont="1" applyBorder="1" applyAlignment="1" applyProtection="1">
      <alignment horizontal="left"/>
      <protection locked="0"/>
    </xf>
    <xf numFmtId="49" fontId="2" fillId="0" borderId="63" xfId="0" applyNumberFormat="1" applyFont="1" applyBorder="1" applyAlignment="1" applyProtection="1">
      <alignment horizontal="right"/>
      <protection locked="0"/>
    </xf>
    <xf numFmtId="49" fontId="2" fillId="0" borderId="64" xfId="0" applyNumberFormat="1" applyFont="1" applyBorder="1" applyAlignment="1" applyProtection="1">
      <alignment horizontal="right"/>
      <protection locked="0"/>
    </xf>
    <xf numFmtId="0" fontId="2" fillId="0" borderId="12" xfId="0" applyFont="1" applyBorder="1" applyAlignment="1" applyProtection="1">
      <alignment horizontal="left"/>
      <protection locked="0"/>
    </xf>
    <xf numFmtId="174" fontId="2" fillId="0" borderId="65" xfId="0" applyNumberFormat="1" applyFont="1" applyBorder="1" applyAlignment="1" applyProtection="1">
      <alignment horizontal="right"/>
      <protection locked="0"/>
    </xf>
    <xf numFmtId="174" fontId="2" fillId="0" borderId="66" xfId="0" applyNumberFormat="1" applyFont="1" applyBorder="1" applyAlignment="1" applyProtection="1">
      <alignment horizontal="center"/>
      <protection locked="0"/>
    </xf>
    <xf numFmtId="178" fontId="2" fillId="2" borderId="62" xfId="0" applyNumberFormat="1" applyFont="1" applyFill="1" applyBorder="1" applyProtection="1">
      <protection locked="0"/>
    </xf>
    <xf numFmtId="178" fontId="2" fillId="0" borderId="66" xfId="0" applyNumberFormat="1" applyFont="1" applyBorder="1" applyProtection="1">
      <protection locked="0"/>
    </xf>
    <xf numFmtId="179" fontId="2" fillId="0" borderId="66" xfId="0" applyNumberFormat="1" applyFont="1" applyBorder="1" applyProtection="1">
      <protection locked="0"/>
    </xf>
    <xf numFmtId="14" fontId="2" fillId="0" borderId="67" xfId="0" applyNumberFormat="1" applyFont="1" applyBorder="1" applyAlignment="1" applyProtection="1">
      <alignment horizontal="left"/>
      <protection locked="0"/>
    </xf>
    <xf numFmtId="49" fontId="2" fillId="0" borderId="68" xfId="0" applyNumberFormat="1" applyFont="1" applyBorder="1" applyAlignment="1" applyProtection="1">
      <alignment horizontal="right"/>
      <protection locked="0"/>
    </xf>
    <xf numFmtId="49" fontId="2" fillId="0" borderId="69" xfId="0" applyNumberFormat="1" applyFont="1" applyBorder="1" applyAlignment="1" applyProtection="1">
      <alignment horizontal="right"/>
      <protection locked="0"/>
    </xf>
    <xf numFmtId="0" fontId="2" fillId="0" borderId="70" xfId="0" applyFont="1" applyBorder="1" applyAlignment="1" applyProtection="1">
      <alignment horizontal="left"/>
      <protection locked="0"/>
    </xf>
    <xf numFmtId="174" fontId="2" fillId="0" borderId="71" xfId="0" applyNumberFormat="1" applyFont="1" applyBorder="1" applyAlignment="1" applyProtection="1">
      <alignment horizontal="right"/>
      <protection locked="0"/>
    </xf>
    <xf numFmtId="174" fontId="2" fillId="0" borderId="72" xfId="0" applyNumberFormat="1" applyFont="1" applyBorder="1" applyAlignment="1" applyProtection="1">
      <alignment horizontal="center"/>
      <protection locked="0"/>
    </xf>
    <xf numFmtId="178" fontId="2" fillId="2" borderId="67" xfId="0" applyNumberFormat="1" applyFont="1" applyFill="1" applyBorder="1" applyProtection="1">
      <protection locked="0"/>
    </xf>
    <xf numFmtId="178" fontId="2" fillId="0" borderId="72" xfId="0" applyNumberFormat="1" applyFont="1" applyBorder="1" applyProtection="1">
      <protection locked="0"/>
    </xf>
    <xf numFmtId="179" fontId="2" fillId="0" borderId="72" xfId="0" applyNumberFormat="1" applyFont="1" applyBorder="1" applyProtection="1">
      <protection locked="0"/>
    </xf>
    <xf numFmtId="164" fontId="9" fillId="0" borderId="0" xfId="0" applyNumberFormat="1" applyFont="1"/>
    <xf numFmtId="178" fontId="16" fillId="2" borderId="73" xfId="0" applyNumberFormat="1" applyFont="1" applyFill="1" applyBorder="1"/>
    <xf numFmtId="178" fontId="16" fillId="0" borderId="74" xfId="0" applyNumberFormat="1" applyFont="1" applyBorder="1"/>
    <xf numFmtId="179" fontId="16" fillId="0" borderId="74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16" fillId="0" borderId="7" xfId="0" applyFont="1" applyBorder="1" applyAlignment="1">
      <alignment horizontal="center"/>
    </xf>
    <xf numFmtId="0" fontId="16" fillId="0" borderId="7" xfId="0" applyFont="1" applyBorder="1" applyAlignment="1">
      <alignment horizontal="right"/>
    </xf>
    <xf numFmtId="0" fontId="16" fillId="0" borderId="7" xfId="0" applyFont="1" applyBorder="1"/>
    <xf numFmtId="0" fontId="58" fillId="0" borderId="7" xfId="0" applyFont="1" applyBorder="1" applyAlignment="1">
      <alignment horizontal="center"/>
    </xf>
    <xf numFmtId="0" fontId="16" fillId="0" borderId="75" xfId="0" applyFont="1" applyBorder="1"/>
    <xf numFmtId="4" fontId="2" fillId="0" borderId="75" xfId="0" applyNumberFormat="1" applyFont="1" applyBorder="1"/>
    <xf numFmtId="4" fontId="2" fillId="0" borderId="75" xfId="0" applyNumberFormat="1" applyFont="1" applyBorder="1" applyAlignment="1">
      <alignment horizontal="center"/>
    </xf>
    <xf numFmtId="180" fontId="71" fillId="0" borderId="75" xfId="0" applyNumberFormat="1" applyFont="1" applyBorder="1"/>
    <xf numFmtId="14" fontId="2" fillId="0" borderId="0" xfId="0" applyNumberFormat="1" applyFont="1" applyAlignment="1">
      <alignment horizontal="left"/>
    </xf>
    <xf numFmtId="0" fontId="2" fillId="0" borderId="76" xfId="0" applyFont="1" applyBorder="1"/>
    <xf numFmtId="0" fontId="2" fillId="0" borderId="76" xfId="0" applyFont="1" applyBorder="1" applyAlignment="1">
      <alignment horizontal="center"/>
    </xf>
    <xf numFmtId="180" fontId="2" fillId="0" borderId="19" xfId="0" applyNumberFormat="1" applyFont="1" applyBorder="1"/>
    <xf numFmtId="14" fontId="2" fillId="0" borderId="0" xfId="0" applyNumberFormat="1" applyFont="1" applyAlignment="1">
      <alignment horizontal="center"/>
    </xf>
    <xf numFmtId="180" fontId="71" fillId="0" borderId="19" xfId="0" applyNumberFormat="1" applyFont="1" applyBorder="1"/>
    <xf numFmtId="0" fontId="16" fillId="0" borderId="2" xfId="0" applyFont="1" applyBorder="1"/>
    <xf numFmtId="0" fontId="58" fillId="0" borderId="77" xfId="0" applyFont="1" applyBorder="1"/>
    <xf numFmtId="0" fontId="0" fillId="0" borderId="76" xfId="0" applyBorder="1"/>
    <xf numFmtId="0" fontId="73" fillId="0" borderId="0" xfId="0" applyFont="1"/>
    <xf numFmtId="14" fontId="2" fillId="0" borderId="53" xfId="0" applyNumberFormat="1" applyFont="1" applyBorder="1" applyAlignment="1">
      <alignment horizontal="left"/>
    </xf>
    <xf numFmtId="164" fontId="2" fillId="0" borderId="54" xfId="0" applyNumberFormat="1" applyFont="1" applyBorder="1"/>
    <xf numFmtId="164" fontId="2" fillId="0" borderId="55" xfId="0" applyNumberFormat="1" applyFont="1" applyBorder="1"/>
    <xf numFmtId="0" fontId="2" fillId="0" borderId="56" xfId="0" applyFont="1" applyBorder="1" applyAlignment="1">
      <alignment horizontal="left"/>
    </xf>
    <xf numFmtId="174" fontId="2" fillId="0" borderId="57" xfId="0" applyNumberFormat="1" applyFont="1" applyBorder="1" applyAlignment="1">
      <alignment horizontal="right"/>
    </xf>
    <xf numFmtId="174" fontId="2" fillId="0" borderId="58" xfId="0" applyNumberFormat="1" applyFont="1" applyBorder="1" applyAlignment="1">
      <alignment horizontal="center"/>
    </xf>
    <xf numFmtId="178" fontId="2" fillId="2" borderId="53" xfId="0" applyNumberFormat="1" applyFont="1" applyFill="1" applyBorder="1"/>
    <xf numFmtId="178" fontId="2" fillId="0" borderId="58" xfId="0" applyNumberFormat="1" applyFont="1" applyBorder="1"/>
    <xf numFmtId="179" fontId="2" fillId="0" borderId="58" xfId="0" applyNumberFormat="1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74" fillId="0" borderId="0" xfId="0" applyFont="1"/>
    <xf numFmtId="168" fontId="75" fillId="0" borderId="0" xfId="0" applyNumberFormat="1" applyFont="1"/>
    <xf numFmtId="168" fontId="32" fillId="0" borderId="0" xfId="0" applyNumberFormat="1" applyFont="1"/>
    <xf numFmtId="0" fontId="0" fillId="0" borderId="78" xfId="0" applyBorder="1" applyAlignment="1">
      <alignment horizontal="left"/>
    </xf>
    <xf numFmtId="0" fontId="9" fillId="0" borderId="78" xfId="0" applyFont="1" applyBorder="1" applyAlignment="1">
      <alignment horizontal="center"/>
    </xf>
    <xf numFmtId="0" fontId="76" fillId="0" borderId="78" xfId="0" applyFont="1" applyBorder="1"/>
    <xf numFmtId="0" fontId="77" fillId="0" borderId="78" xfId="0" applyFont="1" applyBorder="1"/>
    <xf numFmtId="0" fontId="0" fillId="0" borderId="78" xfId="0" applyBorder="1"/>
    <xf numFmtId="168" fontId="0" fillId="0" borderId="78" xfId="0" applyNumberFormat="1" applyBorder="1"/>
    <xf numFmtId="0" fontId="6" fillId="0" borderId="78" xfId="0" applyFont="1" applyBorder="1"/>
    <xf numFmtId="168" fontId="75" fillId="0" borderId="78" xfId="0" applyNumberFormat="1" applyFont="1" applyBorder="1" applyAlignment="1">
      <alignment horizontal="right"/>
    </xf>
    <xf numFmtId="0" fontId="54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83" fontId="2" fillId="0" borderId="0" xfId="0" applyNumberFormat="1" applyFont="1" applyAlignment="1">
      <alignment horizontal="right"/>
    </xf>
    <xf numFmtId="4" fontId="0" fillId="0" borderId="0" xfId="0" applyNumberFormat="1"/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186" fontId="2" fillId="0" borderId="0" xfId="0" applyNumberFormat="1" applyFont="1"/>
    <xf numFmtId="183" fontId="52" fillId="0" borderId="0" xfId="0" applyNumberFormat="1" applyFont="1"/>
    <xf numFmtId="187" fontId="2" fillId="0" borderId="0" xfId="0" applyNumberFormat="1" applyFont="1"/>
    <xf numFmtId="188" fontId="9" fillId="0" borderId="4" xfId="0" applyNumberFormat="1" applyFont="1" applyBorder="1" applyAlignment="1">
      <alignment horizontal="left"/>
    </xf>
    <xf numFmtId="2" fontId="64" fillId="0" borderId="79" xfId="0" applyNumberFormat="1" applyFont="1" applyBorder="1" applyAlignment="1">
      <alignment horizontal="center"/>
    </xf>
    <xf numFmtId="188" fontId="9" fillId="0" borderId="80" xfId="0" applyNumberFormat="1" applyFont="1" applyBorder="1" applyAlignment="1">
      <alignment horizontal="left"/>
    </xf>
    <xf numFmtId="188" fontId="9" fillId="0" borderId="1" xfId="0" applyNumberFormat="1" applyFont="1" applyBorder="1" applyAlignment="1">
      <alignment horizontal="left"/>
    </xf>
    <xf numFmtId="2" fontId="64" fillId="0" borderId="81" xfId="0" applyNumberFormat="1" applyFont="1" applyBorder="1" applyAlignment="1">
      <alignment horizontal="center"/>
    </xf>
    <xf numFmtId="188" fontId="9" fillId="0" borderId="82" xfId="0" applyNumberFormat="1" applyFont="1" applyBorder="1" applyAlignment="1">
      <alignment horizontal="left"/>
    </xf>
    <xf numFmtId="2" fontId="64" fillId="0" borderId="83" xfId="0" applyNumberFormat="1" applyFont="1" applyBorder="1" applyAlignment="1">
      <alignment horizontal="center"/>
    </xf>
    <xf numFmtId="0" fontId="9" fillId="0" borderId="4" xfId="0" applyFont="1" applyBorder="1"/>
    <xf numFmtId="188" fontId="9" fillId="0" borderId="6" xfId="0" applyNumberFormat="1" applyFont="1" applyBorder="1" applyAlignment="1">
      <alignment horizontal="left"/>
    </xf>
    <xf numFmtId="2" fontId="64" fillId="0" borderId="84" xfId="0" applyNumberFormat="1" applyFont="1" applyBorder="1" applyAlignment="1">
      <alignment horizontal="center"/>
    </xf>
    <xf numFmtId="0" fontId="9" fillId="0" borderId="6" xfId="0" applyFont="1" applyBorder="1"/>
    <xf numFmtId="2" fontId="64" fillId="0" borderId="85" xfId="0" applyNumberFormat="1" applyFont="1" applyBorder="1" applyAlignment="1">
      <alignment horizontal="center"/>
    </xf>
    <xf numFmtId="0" fontId="78" fillId="0" borderId="0" xfId="0" applyFont="1"/>
    <xf numFmtId="0" fontId="53" fillId="0" borderId="0" xfId="0" applyFont="1" applyAlignment="1">
      <alignment horizontal="left"/>
    </xf>
    <xf numFmtId="0" fontId="79" fillId="0" borderId="0" xfId="0" applyFont="1"/>
    <xf numFmtId="0" fontId="80" fillId="0" borderId="0" xfId="0" applyFont="1"/>
    <xf numFmtId="0" fontId="81" fillId="0" borderId="0" xfId="0" applyFont="1"/>
    <xf numFmtId="0" fontId="82" fillId="0" borderId="0" xfId="0" applyFont="1"/>
    <xf numFmtId="0" fontId="83" fillId="0" borderId="0" xfId="0" applyFont="1"/>
    <xf numFmtId="164" fontId="84" fillId="0" borderId="0" xfId="0" applyNumberFormat="1" applyFont="1"/>
    <xf numFmtId="0" fontId="85" fillId="0" borderId="0" xfId="0" applyFont="1"/>
    <xf numFmtId="189" fontId="15" fillId="6" borderId="86" xfId="0" applyNumberFormat="1" applyFont="1" applyFill="1" applyBorder="1" applyAlignment="1">
      <alignment horizontal="right"/>
    </xf>
    <xf numFmtId="0" fontId="54" fillId="0" borderId="87" xfId="0" applyFont="1" applyBorder="1" applyAlignment="1">
      <alignment horizontal="center"/>
    </xf>
    <xf numFmtId="0" fontId="54" fillId="0" borderId="88" xfId="0" applyFont="1" applyBorder="1" applyAlignment="1">
      <alignment horizontal="center"/>
    </xf>
    <xf numFmtId="0" fontId="32" fillId="0" borderId="20" xfId="0" applyFont="1" applyBorder="1"/>
    <xf numFmtId="189" fontId="14" fillId="7" borderId="91" xfId="0" applyNumberFormat="1" applyFont="1" applyFill="1" applyBorder="1" applyAlignment="1" applyProtection="1">
      <alignment horizontal="right"/>
      <protection locked="0"/>
    </xf>
    <xf numFmtId="0" fontId="14" fillId="2" borderId="9" xfId="0" applyFont="1" applyFill="1" applyBorder="1" applyAlignment="1" applyProtection="1">
      <alignment horizontal="center"/>
      <protection locked="0"/>
    </xf>
    <xf numFmtId="49" fontId="2" fillId="0" borderId="0" xfId="0" applyNumberFormat="1" applyFont="1"/>
    <xf numFmtId="49" fontId="16" fillId="0" borderId="0" xfId="0" applyNumberFormat="1" applyFont="1"/>
    <xf numFmtId="0" fontId="86" fillId="0" borderId="0" xfId="0" applyFont="1"/>
    <xf numFmtId="49" fontId="9" fillId="0" borderId="0" xfId="0" applyNumberFormat="1" applyFont="1"/>
    <xf numFmtId="0" fontId="16" fillId="0" borderId="20" xfId="0" applyFont="1" applyBorder="1" applyAlignment="1">
      <alignment horizontal="left"/>
    </xf>
    <xf numFmtId="2" fontId="9" fillId="0" borderId="19" xfId="0" applyNumberFormat="1" applyFont="1" applyBorder="1" applyAlignment="1">
      <alignment horizontal="left"/>
    </xf>
    <xf numFmtId="2" fontId="9" fillId="0" borderId="38" xfId="0" applyNumberFormat="1" applyFont="1" applyBorder="1" applyAlignment="1">
      <alignment horizontal="left"/>
    </xf>
    <xf numFmtId="172" fontId="9" fillId="0" borderId="92" xfId="0" applyNumberFormat="1" applyFont="1" applyBorder="1" applyAlignment="1" applyProtection="1">
      <alignment horizontal="left"/>
      <protection locked="0"/>
    </xf>
    <xf numFmtId="172" fontId="52" fillId="0" borderId="93" xfId="0" applyNumberFormat="1" applyFont="1" applyBorder="1" applyProtection="1">
      <protection locked="0"/>
    </xf>
    <xf numFmtId="172" fontId="64" fillId="0" borderId="94" xfId="0" applyNumberFormat="1" applyFont="1" applyBorder="1"/>
    <xf numFmtId="172" fontId="64" fillId="0" borderId="19" xfId="0" applyNumberFormat="1" applyFont="1" applyBorder="1"/>
    <xf numFmtId="191" fontId="90" fillId="0" borderId="0" xfId="1" applyNumberFormat="1" applyFont="1" applyAlignment="1">
      <alignment horizontal="left"/>
    </xf>
    <xf numFmtId="0" fontId="91" fillId="0" borderId="0" xfId="1" applyFont="1" applyAlignment="1">
      <alignment horizontal="right"/>
    </xf>
    <xf numFmtId="0" fontId="90" fillId="0" borderId="0" xfId="1" applyFont="1"/>
    <xf numFmtId="0" fontId="93" fillId="0" borderId="0" xfId="1" applyFont="1"/>
    <xf numFmtId="0" fontId="92" fillId="0" borderId="0" xfId="0" applyFont="1"/>
    <xf numFmtId="191" fontId="94" fillId="0" borderId="0" xfId="1" applyNumberFormat="1" applyFont="1" applyAlignment="1">
      <alignment horizontal="left"/>
    </xf>
    <xf numFmtId="0" fontId="95" fillId="0" borderId="0" xfId="1" applyFont="1" applyAlignment="1">
      <alignment horizontal="right"/>
    </xf>
    <xf numFmtId="0" fontId="94" fillId="0" borderId="0" xfId="1" applyFont="1"/>
    <xf numFmtId="0" fontId="96" fillId="0" borderId="0" xfId="0" applyFont="1"/>
    <xf numFmtId="0" fontId="97" fillId="0" borderId="0" xfId="0" applyFont="1"/>
    <xf numFmtId="16" fontId="90" fillId="0" borderId="0" xfId="1" applyNumberFormat="1" applyFont="1" applyAlignment="1">
      <alignment horizontal="left"/>
    </xf>
    <xf numFmtId="16" fontId="90" fillId="0" borderId="0" xfId="1" applyNumberFormat="1" applyFont="1"/>
    <xf numFmtId="0" fontId="88" fillId="0" borderId="0" xfId="1" applyFont="1"/>
    <xf numFmtId="0" fontId="89" fillId="0" borderId="0" xfId="0" applyFont="1"/>
    <xf numFmtId="1" fontId="98" fillId="0" borderId="0" xfId="0" applyNumberFormat="1" applyFont="1"/>
    <xf numFmtId="0" fontId="87" fillId="0" borderId="0" xfId="0" applyFont="1"/>
    <xf numFmtId="0" fontId="99" fillId="0" borderId="0" xfId="0" applyFont="1"/>
    <xf numFmtId="0" fontId="98" fillId="0" borderId="0" xfId="0" applyFont="1"/>
    <xf numFmtId="0" fontId="9" fillId="0" borderId="0" xfId="0" applyFont="1" applyAlignment="1">
      <alignment horizontal="left"/>
    </xf>
    <xf numFmtId="0" fontId="9" fillId="0" borderId="111" xfId="0" applyFont="1" applyBorder="1" applyAlignment="1">
      <alignment horizontal="right"/>
    </xf>
    <xf numFmtId="49" fontId="2" fillId="0" borderId="111" xfId="0" applyNumberFormat="1" applyFont="1" applyBorder="1" applyAlignment="1">
      <alignment horizontal="center"/>
    </xf>
    <xf numFmtId="0" fontId="72" fillId="0" borderId="111" xfId="0" quotePrefix="1" applyFont="1" applyBorder="1" applyAlignment="1">
      <alignment horizontal="center"/>
    </xf>
    <xf numFmtId="0" fontId="9" fillId="0" borderId="112" xfId="0" applyFont="1" applyBorder="1" applyAlignment="1">
      <alignment horizontal="center" vertical="top"/>
    </xf>
    <xf numFmtId="0" fontId="16" fillId="5" borderId="0" xfId="0" applyFont="1" applyFill="1" applyAlignment="1">
      <alignment horizontal="left"/>
    </xf>
    <xf numFmtId="0" fontId="16" fillId="5" borderId="0" xfId="0" applyFont="1" applyFill="1" applyAlignment="1">
      <alignment horizontal="right"/>
    </xf>
    <xf numFmtId="169" fontId="2" fillId="0" borderId="110" xfId="0" applyNumberFormat="1" applyFont="1" applyBorder="1" applyAlignment="1">
      <alignment horizontal="left"/>
    </xf>
    <xf numFmtId="0" fontId="31" fillId="0" borderId="110" xfId="0" applyFont="1" applyBorder="1" applyAlignment="1">
      <alignment horizontal="right"/>
    </xf>
    <xf numFmtId="0" fontId="9" fillId="0" borderId="111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14" fillId="2" borderId="9" xfId="0" applyFont="1" applyFill="1" applyBorder="1" applyAlignment="1" applyProtection="1">
      <alignment horizontal="left"/>
      <protection locked="0"/>
    </xf>
    <xf numFmtId="14" fontId="6" fillId="4" borderId="9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9" fillId="0" borderId="0" xfId="0" applyFont="1" applyAlignment="1">
      <alignment horizontal="center"/>
    </xf>
    <xf numFmtId="14" fontId="6" fillId="4" borderId="9" xfId="0" applyNumberFormat="1" applyFont="1" applyFill="1" applyBorder="1" applyAlignment="1">
      <alignment horizontal="center"/>
    </xf>
    <xf numFmtId="0" fontId="2" fillId="0" borderId="95" xfId="0" applyFont="1" applyBorder="1" applyAlignment="1">
      <alignment horizontal="center"/>
    </xf>
    <xf numFmtId="14" fontId="0" fillId="0" borderId="95" xfId="0" applyNumberFormat="1" applyBorder="1" applyAlignment="1">
      <alignment horizontal="left"/>
    </xf>
    <xf numFmtId="0" fontId="63" fillId="0" borderId="99" xfId="0" applyFont="1" applyBorder="1" applyAlignment="1">
      <alignment horizontal="center"/>
    </xf>
    <xf numFmtId="0" fontId="64" fillId="0" borderId="81" xfId="0" applyFont="1" applyBorder="1" applyAlignment="1">
      <alignment horizontal="center" textRotation="90" shrinkToFit="1"/>
    </xf>
    <xf numFmtId="14" fontId="64" fillId="0" borderId="0" xfId="0" applyNumberFormat="1" applyFont="1" applyAlignment="1">
      <alignment horizontal="left"/>
    </xf>
    <xf numFmtId="176" fontId="52" fillId="0" borderId="0" xfId="0" applyNumberFormat="1" applyFont="1" applyAlignment="1" applyProtection="1">
      <alignment horizontal="left"/>
      <protection locked="0"/>
    </xf>
    <xf numFmtId="176" fontId="16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/>
    </xf>
    <xf numFmtId="177" fontId="16" fillId="0" borderId="0" xfId="0" applyNumberFormat="1" applyFont="1" applyAlignment="1">
      <alignment horizontal="right"/>
    </xf>
    <xf numFmtId="0" fontId="65" fillId="0" borderId="105" xfId="0" applyFont="1" applyBorder="1" applyAlignment="1">
      <alignment horizontal="center"/>
    </xf>
    <xf numFmtId="0" fontId="65" fillId="0" borderId="106" xfId="0" applyFont="1" applyBorder="1" applyAlignment="1">
      <alignment horizontal="center"/>
    </xf>
    <xf numFmtId="14" fontId="9" fillId="0" borderId="0" xfId="0" applyNumberFormat="1" applyFont="1" applyAlignment="1">
      <alignment horizontal="right"/>
    </xf>
    <xf numFmtId="176" fontId="2" fillId="0" borderId="2" xfId="0" applyNumberFormat="1" applyFont="1" applyBorder="1" applyAlignment="1">
      <alignment horizontal="right"/>
    </xf>
    <xf numFmtId="168" fontId="15" fillId="5" borderId="0" xfId="0" applyNumberFormat="1" applyFont="1" applyFill="1" applyAlignment="1">
      <alignment horizontal="left"/>
    </xf>
    <xf numFmtId="169" fontId="62" fillId="0" borderId="0" xfId="0" applyNumberFormat="1" applyFont="1" applyAlignment="1">
      <alignment horizontal="right"/>
    </xf>
    <xf numFmtId="0" fontId="63" fillId="0" borderId="96" xfId="0" applyFont="1" applyBorder="1" applyAlignment="1">
      <alignment horizontal="center"/>
    </xf>
    <xf numFmtId="0" fontId="16" fillId="2" borderId="97" xfId="0" applyFont="1" applyFill="1" applyBorder="1" applyAlignment="1">
      <alignment horizontal="center"/>
    </xf>
    <xf numFmtId="0" fontId="9" fillId="0" borderId="97" xfId="0" applyFont="1" applyBorder="1" applyAlignment="1">
      <alignment horizontal="center" textRotation="90" shrinkToFit="1"/>
    </xf>
    <xf numFmtId="0" fontId="9" fillId="0" borderId="98" xfId="0" applyFont="1" applyBorder="1" applyAlignment="1">
      <alignment horizontal="center" textRotation="90" shrinkToFit="1"/>
    </xf>
    <xf numFmtId="0" fontId="65" fillId="0" borderId="103" xfId="0" applyFont="1" applyBorder="1" applyAlignment="1">
      <alignment horizontal="left" readingOrder="1"/>
    </xf>
    <xf numFmtId="0" fontId="65" fillId="0" borderId="75" xfId="0" applyFont="1" applyBorder="1" applyAlignment="1">
      <alignment horizontal="left" readingOrder="1"/>
    </xf>
    <xf numFmtId="174" fontId="9" fillId="0" borderId="90" xfId="0" applyNumberFormat="1" applyFont="1" applyBorder="1" applyProtection="1">
      <protection locked="0"/>
    </xf>
    <xf numFmtId="174" fontId="9" fillId="0" borderId="19" xfId="0" applyNumberFormat="1" applyFont="1" applyBorder="1" applyProtection="1">
      <protection locked="0"/>
    </xf>
    <xf numFmtId="174" fontId="9" fillId="0" borderId="109" xfId="0" applyNumberFormat="1" applyFont="1" applyBorder="1" applyProtection="1">
      <protection locked="0"/>
    </xf>
    <xf numFmtId="174" fontId="9" fillId="0" borderId="113" xfId="0" applyNumberFormat="1" applyFont="1" applyBorder="1" applyProtection="1">
      <protection locked="0"/>
    </xf>
    <xf numFmtId="174" fontId="9" fillId="0" borderId="104" xfId="0" applyNumberFormat="1" applyFont="1" applyBorder="1" applyProtection="1">
      <protection locked="0"/>
    </xf>
    <xf numFmtId="174" fontId="9" fillId="0" borderId="108" xfId="0" applyNumberFormat="1" applyFont="1" applyBorder="1" applyProtection="1">
      <protection locked="0"/>
    </xf>
    <xf numFmtId="174" fontId="9" fillId="0" borderId="89" xfId="0" applyNumberFormat="1" applyFont="1" applyBorder="1" applyProtection="1">
      <protection locked="0"/>
    </xf>
    <xf numFmtId="174" fontId="9" fillId="0" borderId="20" xfId="0" applyNumberFormat="1" applyFont="1" applyBorder="1" applyProtection="1">
      <protection locked="0"/>
    </xf>
    <xf numFmtId="174" fontId="9" fillId="0" borderId="107" xfId="0" applyNumberFormat="1" applyFont="1" applyBorder="1" applyProtection="1">
      <protection locked="0"/>
    </xf>
    <xf numFmtId="2" fontId="9" fillId="0" borderId="113" xfId="0" applyNumberFormat="1" applyFont="1" applyBorder="1" applyProtection="1">
      <protection locked="0"/>
    </xf>
    <xf numFmtId="2" fontId="9" fillId="0" borderId="104" xfId="0" applyNumberFormat="1" applyFont="1" applyBorder="1" applyProtection="1">
      <protection locked="0"/>
    </xf>
    <xf numFmtId="2" fontId="9" fillId="0" borderId="108" xfId="0" applyNumberFormat="1" applyFont="1" applyBorder="1" applyProtection="1">
      <protection locked="0"/>
    </xf>
    <xf numFmtId="190" fontId="2" fillId="0" borderId="0" xfId="0" applyNumberFormat="1" applyFont="1" applyAlignment="1">
      <alignment horizontal="right"/>
    </xf>
    <xf numFmtId="0" fontId="16" fillId="0" borderId="50" xfId="0" applyFont="1" applyBorder="1" applyAlignment="1">
      <alignment horizontal="center"/>
    </xf>
    <xf numFmtId="0" fontId="2" fillId="0" borderId="100" xfId="0" applyFont="1" applyBorder="1" applyAlignment="1">
      <alignment horizontal="left"/>
    </xf>
    <xf numFmtId="181" fontId="58" fillId="0" borderId="77" xfId="0" applyNumberFormat="1" applyFont="1" applyBorder="1" applyAlignment="1">
      <alignment horizontal="right"/>
    </xf>
    <xf numFmtId="0" fontId="16" fillId="0" borderId="44" xfId="0" applyFont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6" fillId="0" borderId="20" xfId="0" applyFont="1" applyBorder="1" applyAlignment="1">
      <alignment horizontal="left"/>
    </xf>
    <xf numFmtId="182" fontId="2" fillId="0" borderId="19" xfId="0" applyNumberFormat="1" applyFont="1" applyBorder="1" applyAlignment="1">
      <alignment horizontal="right"/>
    </xf>
    <xf numFmtId="181" fontId="58" fillId="0" borderId="19" xfId="0" applyNumberFormat="1" applyFont="1" applyBorder="1" applyAlignment="1">
      <alignment horizontal="right"/>
    </xf>
    <xf numFmtId="0" fontId="16" fillId="0" borderId="102" xfId="0" applyFont="1" applyBorder="1" applyAlignment="1">
      <alignment horizontal="left"/>
    </xf>
    <xf numFmtId="182" fontId="2" fillId="0" borderId="102" xfId="0" applyNumberFormat="1" applyFont="1" applyBorder="1" applyAlignment="1">
      <alignment horizontal="right"/>
    </xf>
    <xf numFmtId="14" fontId="2" fillId="0" borderId="95" xfId="0" applyNumberFormat="1" applyFont="1" applyBorder="1" applyAlignment="1">
      <alignment horizontal="center"/>
    </xf>
    <xf numFmtId="0" fontId="16" fillId="0" borderId="19" xfId="0" applyFont="1" applyBorder="1" applyAlignment="1">
      <alignment horizontal="left"/>
    </xf>
    <xf numFmtId="0" fontId="6" fillId="2" borderId="73" xfId="0" applyFont="1" applyFill="1" applyBorder="1" applyAlignment="1">
      <alignment horizontal="left"/>
    </xf>
    <xf numFmtId="181" fontId="58" fillId="0" borderId="75" xfId="0" applyNumberFormat="1" applyFont="1" applyBorder="1" applyAlignment="1">
      <alignment horizontal="right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1" xfId="0" applyFont="1" applyBorder="1" applyAlignment="1" applyProtection="1">
      <alignment horizontal="left"/>
      <protection locked="0"/>
    </xf>
    <xf numFmtId="0" fontId="32" fillId="0" borderId="0" xfId="0" applyFont="1" applyAlignment="1">
      <alignment horizontal="right"/>
    </xf>
    <xf numFmtId="0" fontId="2" fillId="0" borderId="100" xfId="0" applyFont="1" applyBorder="1" applyAlignment="1" applyProtection="1">
      <alignment horizontal="left"/>
      <protection locked="0"/>
    </xf>
    <xf numFmtId="0" fontId="58" fillId="0" borderId="18" xfId="0" applyFont="1" applyBorder="1" applyAlignment="1">
      <alignment horizontal="center"/>
    </xf>
    <xf numFmtId="183" fontId="52" fillId="0" borderId="0" xfId="0" applyNumberFormat="1" applyFont="1" applyAlignment="1">
      <alignment horizontal="right"/>
    </xf>
    <xf numFmtId="183" fontId="2" fillId="0" borderId="0" xfId="0" applyNumberFormat="1" applyFont="1" applyAlignment="1">
      <alignment horizontal="right"/>
    </xf>
    <xf numFmtId="184" fontId="2" fillId="0" borderId="0" xfId="0" applyNumberFormat="1" applyFont="1" applyAlignment="1">
      <alignment horizontal="left"/>
    </xf>
    <xf numFmtId="185" fontId="5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left"/>
    </xf>
  </cellXfs>
  <cellStyles count="2">
    <cellStyle name="Standard" xfId="0" builtinId="0"/>
    <cellStyle name="Standard_SPESEN" xfId="1" xr:uid="{00000000-0005-0000-0000-000001000000}"/>
  </cellStyles>
  <dxfs count="2245"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3E3E3"/>
      <rgbColor rgb="00660066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0E0E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3497580</xdr:colOff>
      <xdr:row>0</xdr:row>
      <xdr:rowOff>30480</xdr:rowOff>
    </xdr:from>
    <xdr:to>
      <xdr:col>7</xdr:col>
      <xdr:colOff>830580</xdr:colOff>
      <xdr:row>2</xdr:row>
      <xdr:rowOff>83820</xdr:rowOff>
    </xdr:to>
    <xdr:pic>
      <xdr:nvPicPr>
        <xdr:cNvPr id="1036" name="Picture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5780" y="30480"/>
          <a:ext cx="83058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1276" name="Picture 1">
          <a:extLst>
            <a:ext uri="{FF2B5EF4-FFF2-40B4-BE49-F238E27FC236}">
              <a16:creationId xmlns:a16="http://schemas.microsoft.com/office/drawing/2014/main" id="{00000000-0008-0000-0A00-00000C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248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12300" name="Picture 1">
          <a:extLst>
            <a:ext uri="{FF2B5EF4-FFF2-40B4-BE49-F238E27FC236}">
              <a16:creationId xmlns:a16="http://schemas.microsoft.com/office/drawing/2014/main" id="{00000000-0008-0000-0B00-00000C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1722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3324" name="Picture 1">
          <a:extLst>
            <a:ext uri="{FF2B5EF4-FFF2-40B4-BE49-F238E27FC236}">
              <a16:creationId xmlns:a16="http://schemas.microsoft.com/office/drawing/2014/main" id="{00000000-0008-0000-0C00-00000C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248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259080</xdr:colOff>
      <xdr:row>3</xdr:row>
      <xdr:rowOff>45720</xdr:rowOff>
    </xdr:to>
    <xdr:pic>
      <xdr:nvPicPr>
        <xdr:cNvPr id="14348" name="Picture 1">
          <a:extLst>
            <a:ext uri="{FF2B5EF4-FFF2-40B4-BE49-F238E27FC236}">
              <a16:creationId xmlns:a16="http://schemas.microsoft.com/office/drawing/2014/main" id="{00000000-0008-0000-0D00-00000C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0960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5372" name="Picture 1">
          <a:extLst>
            <a:ext uri="{FF2B5EF4-FFF2-40B4-BE49-F238E27FC236}">
              <a16:creationId xmlns:a16="http://schemas.microsoft.com/office/drawing/2014/main" id="{00000000-0008-0000-0E00-00000C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248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60960</xdr:colOff>
      <xdr:row>0</xdr:row>
      <xdr:rowOff>53340</xdr:rowOff>
    </xdr:from>
    <xdr:to>
      <xdr:col>14</xdr:col>
      <xdr:colOff>662940</xdr:colOff>
      <xdr:row>1</xdr:row>
      <xdr:rowOff>274320</xdr:rowOff>
    </xdr:to>
    <xdr:pic>
      <xdr:nvPicPr>
        <xdr:cNvPr id="16396" name="Picture 2">
          <a:extLst>
            <a:ext uri="{FF2B5EF4-FFF2-40B4-BE49-F238E27FC236}">
              <a16:creationId xmlns:a16="http://schemas.microsoft.com/office/drawing/2014/main" id="{00000000-0008-0000-0F00-00000C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53340"/>
          <a:ext cx="601980" cy="441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</xdr:rowOff>
    </xdr:from>
    <xdr:to>
      <xdr:col>3</xdr:col>
      <xdr:colOff>121920</xdr:colOff>
      <xdr:row>1</xdr:row>
      <xdr:rowOff>327660</xdr:rowOff>
    </xdr:to>
    <xdr:pic>
      <xdr:nvPicPr>
        <xdr:cNvPr id="17420" name="Picture 1">
          <a:extLst>
            <a:ext uri="{FF2B5EF4-FFF2-40B4-BE49-F238E27FC236}">
              <a16:creationId xmlns:a16="http://schemas.microsoft.com/office/drawing/2014/main" id="{00000000-0008-0000-1000-00000C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5240"/>
          <a:ext cx="86106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0</xdr:row>
      <xdr:rowOff>7620</xdr:rowOff>
    </xdr:from>
    <xdr:to>
      <xdr:col>8</xdr:col>
      <xdr:colOff>1211580</xdr:colOff>
      <xdr:row>2</xdr:row>
      <xdr:rowOff>160020</xdr:rowOff>
    </xdr:to>
    <xdr:pic>
      <xdr:nvPicPr>
        <xdr:cNvPr id="3095" name="Picture 1">
          <a:extLst>
            <a:ext uri="{FF2B5EF4-FFF2-40B4-BE49-F238E27FC236}">
              <a16:creationId xmlns:a16="http://schemas.microsoft.com/office/drawing/2014/main" id="{00000000-0008-0000-02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7620"/>
          <a:ext cx="792480" cy="579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434340</xdr:colOff>
      <xdr:row>27</xdr:row>
      <xdr:rowOff>0</xdr:rowOff>
    </xdr:from>
    <xdr:to>
      <xdr:col>8</xdr:col>
      <xdr:colOff>1219200</xdr:colOff>
      <xdr:row>29</xdr:row>
      <xdr:rowOff>152400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00000000-0008-0000-0200-00001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4440" y="5128260"/>
          <a:ext cx="784860" cy="579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259080</xdr:colOff>
      <xdr:row>3</xdr:row>
      <xdr:rowOff>45720</xdr:rowOff>
    </xdr:to>
    <xdr:pic>
      <xdr:nvPicPr>
        <xdr:cNvPr id="4108" name="Picture 4">
          <a:extLst>
            <a:ext uri="{FF2B5EF4-FFF2-40B4-BE49-F238E27FC236}">
              <a16:creationId xmlns:a16="http://schemas.microsoft.com/office/drawing/2014/main" id="{00000000-0008-0000-0300-00000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1722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5132" name="Picture 1">
          <a:extLst>
            <a:ext uri="{FF2B5EF4-FFF2-40B4-BE49-F238E27FC236}">
              <a16:creationId xmlns:a16="http://schemas.microsoft.com/office/drawing/2014/main" id="{00000000-0008-0000-0400-00000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3246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6156" name="Picture 1">
          <a:extLst>
            <a:ext uri="{FF2B5EF4-FFF2-40B4-BE49-F238E27FC236}">
              <a16:creationId xmlns:a16="http://schemas.microsoft.com/office/drawing/2014/main" id="{00000000-0008-0000-0500-00000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248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7180" name="Picture 1">
          <a:extLst>
            <a:ext uri="{FF2B5EF4-FFF2-40B4-BE49-F238E27FC236}">
              <a16:creationId xmlns:a16="http://schemas.microsoft.com/office/drawing/2014/main" id="{00000000-0008-0000-06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1722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8204" name="Picture 1">
          <a:extLst>
            <a:ext uri="{FF2B5EF4-FFF2-40B4-BE49-F238E27FC236}">
              <a16:creationId xmlns:a16="http://schemas.microsoft.com/office/drawing/2014/main" id="{00000000-0008-0000-0700-00000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248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9228" name="Picture 1">
          <a:extLst>
            <a:ext uri="{FF2B5EF4-FFF2-40B4-BE49-F238E27FC236}">
              <a16:creationId xmlns:a16="http://schemas.microsoft.com/office/drawing/2014/main" id="{00000000-0008-0000-0800-00000C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1722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0252" name="Picture 1">
          <a:extLst>
            <a:ext uri="{FF2B5EF4-FFF2-40B4-BE49-F238E27FC236}">
              <a16:creationId xmlns:a16="http://schemas.microsoft.com/office/drawing/2014/main" id="{00000000-0008-0000-0900-00000C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248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1"/>
  <sheetViews>
    <sheetView showGridLines="0" tabSelected="1" workbookViewId="0">
      <selection activeCell="D8" sqref="D8:H8"/>
    </sheetView>
  </sheetViews>
  <sheetFormatPr baseColWidth="10" defaultColWidth="11.42578125" defaultRowHeight="12.75"/>
  <cols>
    <col min="1" max="1" width="19.85546875" customWidth="1"/>
    <col min="2" max="2" width="3.140625" customWidth="1"/>
    <col min="3" max="3" width="24.28515625" customWidth="1"/>
    <col min="4" max="4" width="17.28515625" customWidth="1"/>
    <col min="5" max="5" width="3.7109375" customWidth="1"/>
    <col min="7" max="7" width="39" customWidth="1"/>
    <col min="8" max="8" width="13" customWidth="1"/>
    <col min="9" max="9" width="7.42578125" style="1" customWidth="1"/>
    <col min="10" max="10" width="11.5703125" style="2" customWidth="1"/>
    <col min="11" max="11" width="7" style="2" customWidth="1"/>
    <col min="12" max="12" width="3.140625" customWidth="1"/>
    <col min="13" max="13" width="11.5703125" style="2" customWidth="1"/>
    <col min="14" max="14" width="7.140625" style="2" customWidth="1"/>
    <col min="15" max="15" width="3.140625" customWidth="1"/>
    <col min="16" max="16" width="11.5703125" style="2" customWidth="1"/>
    <col min="17" max="17" width="7" style="2" customWidth="1"/>
    <col min="18" max="18" width="3.140625" customWidth="1"/>
    <col min="19" max="19" width="11.5703125" style="2" customWidth="1"/>
    <col min="20" max="20" width="7" style="2" customWidth="1"/>
    <col min="21" max="21" width="3.140625" customWidth="1"/>
    <col min="22" max="22" width="11.5703125" style="2" customWidth="1"/>
    <col min="23" max="23" width="7" style="2" customWidth="1"/>
    <col min="24" max="24" width="3.140625" customWidth="1"/>
    <col min="25" max="25" width="11.5703125" style="2" customWidth="1"/>
    <col min="26" max="26" width="7" style="2" customWidth="1"/>
  </cols>
  <sheetData>
    <row r="1" spans="1:34" ht="33.75">
      <c r="A1" s="3" t="s">
        <v>0</v>
      </c>
      <c r="B1" s="4"/>
      <c r="C1" s="5"/>
      <c r="D1" s="6"/>
      <c r="E1" s="7"/>
      <c r="F1" s="7"/>
      <c r="G1" s="7"/>
      <c r="H1" s="8"/>
      <c r="I1" s="9"/>
      <c r="L1" s="10"/>
      <c r="O1" s="10"/>
      <c r="R1" s="10"/>
      <c r="U1" s="10"/>
      <c r="X1" s="10"/>
    </row>
    <row r="2" spans="1:34" ht="15.75">
      <c r="A2" s="11" t="s">
        <v>195</v>
      </c>
      <c r="B2" s="12"/>
      <c r="C2" s="12"/>
      <c r="D2" s="12"/>
      <c r="E2" s="13" t="s">
        <v>188</v>
      </c>
      <c r="F2" s="12"/>
      <c r="G2" s="12"/>
      <c r="H2" s="14"/>
    </row>
    <row r="3" spans="1:34" ht="14.45" customHeight="1" thickBot="1">
      <c r="A3" s="15"/>
      <c r="B3" s="16"/>
      <c r="C3" s="16"/>
      <c r="D3" s="16"/>
      <c r="E3" s="16"/>
      <c r="F3" s="16"/>
      <c r="G3" s="16"/>
      <c r="H3" s="17"/>
    </row>
    <row r="4" spans="1:34" ht="5.0999999999999996" customHeight="1"/>
    <row r="5" spans="1:34" ht="25.5" customHeight="1">
      <c r="A5" s="18" t="s">
        <v>1</v>
      </c>
      <c r="B5" s="18"/>
      <c r="C5" s="19"/>
      <c r="D5" s="19"/>
      <c r="F5" s="20">
        <v>2026</v>
      </c>
      <c r="G5" s="21" t="s">
        <v>2</v>
      </c>
      <c r="I5" s="22"/>
      <c r="L5" s="23"/>
      <c r="O5" s="23"/>
      <c r="R5" s="23"/>
      <c r="U5" s="23"/>
      <c r="X5" s="23"/>
    </row>
    <row r="6" spans="1:34">
      <c r="A6" s="24"/>
      <c r="B6" s="25"/>
      <c r="C6" s="26"/>
      <c r="D6" s="26"/>
      <c r="L6" s="25"/>
      <c r="O6" s="25"/>
      <c r="R6" s="25"/>
      <c r="U6" s="25"/>
      <c r="X6" s="25"/>
    </row>
    <row r="7" spans="1:34" ht="24.95" customHeight="1">
      <c r="A7" s="384" t="s">
        <v>3</v>
      </c>
      <c r="B7" s="384"/>
      <c r="C7" s="384"/>
      <c r="D7" s="385" t="s">
        <v>196</v>
      </c>
      <c r="E7" s="385"/>
      <c r="F7" s="385"/>
      <c r="G7" s="385"/>
      <c r="H7" s="385"/>
    </row>
    <row r="8" spans="1:34" ht="15.95" customHeight="1">
      <c r="A8" s="27" t="s">
        <v>172</v>
      </c>
      <c r="B8" s="27"/>
      <c r="C8" s="27"/>
      <c r="D8" s="385" t="s">
        <v>197</v>
      </c>
      <c r="E8" s="385"/>
      <c r="F8" s="385"/>
      <c r="G8" s="385"/>
      <c r="H8" s="385"/>
      <c r="AC8" s="32"/>
      <c r="AD8" s="33"/>
    </row>
    <row r="9" spans="1:34" ht="15.95" customHeight="1">
      <c r="A9" s="384" t="str">
        <f>"Urlaubsanspruch in Stunden für das Jahr "&amp;F5&amp;":"</f>
        <v>Urlaubsanspruch in Stunden für das Jahr 2026:</v>
      </c>
      <c r="B9" s="384"/>
      <c r="C9" s="384"/>
      <c r="D9" s="34">
        <v>190</v>
      </c>
      <c r="E9" s="35" t="s">
        <v>13</v>
      </c>
      <c r="F9" s="36" t="s">
        <v>198</v>
      </c>
      <c r="G9" s="37"/>
      <c r="H9" s="37"/>
      <c r="AC9" s="32"/>
      <c r="AD9" s="33"/>
    </row>
    <row r="10" spans="1:34" ht="15.95" customHeight="1">
      <c r="A10" s="42" t="str">
        <f>"Resturlaub aus Vorjahr(en) per 31.12."&amp;F5-1&amp;":"</f>
        <v>Resturlaub aus Vorjahr(en) per 31.12.2025:</v>
      </c>
      <c r="D10" s="34">
        <v>0</v>
      </c>
      <c r="E10" t="s">
        <v>13</v>
      </c>
      <c r="F10" s="36" t="s">
        <v>16</v>
      </c>
      <c r="H10" s="37"/>
      <c r="AC10" s="32"/>
      <c r="AD10" s="33"/>
    </row>
    <row r="11" spans="1:34" ht="15.95" customHeight="1">
      <c r="A11" s="42" t="str">
        <f>"Urlaubsanspruch gesamt für "&amp;F5&amp;":"</f>
        <v>Urlaubsanspruch gesamt für 2026:</v>
      </c>
      <c r="D11" s="44">
        <f>SUM(D9:D10)</f>
        <v>190</v>
      </c>
      <c r="H11" s="37"/>
      <c r="AC11" s="45"/>
      <c r="AD11" s="33"/>
    </row>
    <row r="12" spans="1:34" ht="15.95" customHeight="1">
      <c r="A12" s="24"/>
      <c r="B12" s="31"/>
      <c r="C12" s="31"/>
      <c r="D12" s="46"/>
      <c r="E12" s="47"/>
      <c r="F12" s="37"/>
      <c r="G12" s="37"/>
      <c r="H12" s="37"/>
      <c r="AC12" s="45"/>
      <c r="AD12" s="33"/>
    </row>
    <row r="13" spans="1:34" s="49" customFormat="1" ht="15.95" customHeight="1">
      <c r="A13" s="384" t="str">
        <f>"Zeitguthaben/-defizit per 31.12."&amp;F5-1&amp;":"</f>
        <v>Zeitguthaben/-defizit per 31.12.2025:</v>
      </c>
      <c r="B13" s="384"/>
      <c r="C13" s="384"/>
      <c r="D13" s="34">
        <v>0</v>
      </c>
      <c r="E13" s="35" t="s">
        <v>13</v>
      </c>
      <c r="F13" s="37"/>
      <c r="G13" s="37"/>
      <c r="H13" s="48"/>
      <c r="AC13" s="45"/>
      <c r="AD13" s="33"/>
      <c r="AE13"/>
      <c r="AF13"/>
      <c r="AG13"/>
      <c r="AH13"/>
    </row>
    <row r="14" spans="1:34" s="49" customFormat="1" ht="15.95" customHeight="1">
      <c r="A14" s="24"/>
      <c r="B14" s="31"/>
      <c r="C14" s="31"/>
      <c r="D14" s="46"/>
      <c r="E14" s="47"/>
      <c r="F14" s="37"/>
      <c r="G14" s="37"/>
      <c r="H14" s="48"/>
      <c r="AC14" s="45"/>
      <c r="AD14" s="33"/>
      <c r="AE14"/>
      <c r="AF14"/>
      <c r="AG14"/>
      <c r="AH14"/>
    </row>
    <row r="15" spans="1:34" s="49" customFormat="1" ht="15.95" customHeight="1">
      <c r="A15" s="331" t="s">
        <v>170</v>
      </c>
      <c r="B15" s="106"/>
      <c r="C15" s="106"/>
      <c r="D15" s="106"/>
      <c r="E15" s="106"/>
      <c r="F15" s="106"/>
      <c r="G15" s="313"/>
      <c r="H15" s="48"/>
      <c r="AC15" s="45"/>
      <c r="AD15" s="33"/>
      <c r="AE15"/>
      <c r="AF15"/>
      <c r="AG15"/>
      <c r="AH15"/>
    </row>
    <row r="16" spans="1:34" s="49" customFormat="1" ht="15.95" customHeight="1">
      <c r="A16" s="332" t="s">
        <v>173</v>
      </c>
      <c r="B16" s="332"/>
      <c r="C16" s="332"/>
      <c r="D16" s="332"/>
      <c r="E16" s="332"/>
      <c r="F16" s="332"/>
      <c r="G16" s="332"/>
      <c r="H16" s="48"/>
      <c r="AC16" s="45"/>
      <c r="AD16" s="33"/>
      <c r="AE16"/>
      <c r="AF16"/>
      <c r="AG16"/>
      <c r="AH16"/>
    </row>
    <row r="17" spans="1:34" s="49" customFormat="1" ht="15.95" customHeight="1">
      <c r="A17" s="333" t="s">
        <v>174</v>
      </c>
      <c r="B17" s="334"/>
      <c r="C17" s="334"/>
      <c r="D17" s="334"/>
      <c r="E17" s="334"/>
      <c r="F17" s="334"/>
      <c r="G17" s="334"/>
      <c r="H17" s="48"/>
      <c r="AC17" s="45"/>
      <c r="AD17" s="33"/>
      <c r="AE17"/>
      <c r="AF17"/>
      <c r="AG17"/>
      <c r="AH17"/>
    </row>
    <row r="18" spans="1:34" s="49" customFormat="1" ht="15.95" customHeight="1">
      <c r="A18" s="335" t="s">
        <v>171</v>
      </c>
      <c r="B18" s="336"/>
      <c r="C18" s="336"/>
      <c r="D18" s="336"/>
      <c r="E18" s="336"/>
      <c r="F18" s="336"/>
      <c r="G18" s="336"/>
      <c r="H18" s="48"/>
      <c r="AC18" s="45"/>
      <c r="AD18" s="33"/>
      <c r="AE18"/>
      <c r="AF18"/>
      <c r="AG18"/>
      <c r="AH18"/>
    </row>
    <row r="19" spans="1:34" s="49" customFormat="1" ht="15.95" customHeight="1">
      <c r="A19" s="335"/>
      <c r="B19" s="336"/>
      <c r="C19" s="336"/>
      <c r="D19" s="336"/>
      <c r="E19" s="336"/>
      <c r="F19" s="336"/>
      <c r="G19" s="336"/>
      <c r="H19" s="48"/>
      <c r="AC19" s="45"/>
      <c r="AD19" s="33"/>
      <c r="AE19"/>
      <c r="AF19"/>
      <c r="AG19"/>
      <c r="AH19"/>
    </row>
    <row r="20" spans="1:34" s="49" customFormat="1" ht="15.95" customHeight="1">
      <c r="A20" s="52" t="s">
        <v>27</v>
      </c>
      <c r="B20" s="53">
        <v>2</v>
      </c>
      <c r="C20" s="52" t="s">
        <v>14</v>
      </c>
      <c r="D20" s="343">
        <v>8</v>
      </c>
      <c r="E20" s="35" t="s">
        <v>13</v>
      </c>
      <c r="F20" s="48" t="str">
        <f>IF(D20="Ersatzruhetag","   ",IF(TYPE(D20)=2,"Bitte einen Zahlenwert, das Wort  Ersatzruhetag  oder  0,00  eintragen",IF(D20&gt;10,"Die tägliche Normalarbeitszeit darf nicht mehr als 10 h betragen - Bitte korrigieren",IF(D20&lt;0,"Ein Wert kleiner NULL ist nicht möglich - Bitte korrigieren",""))))</f>
        <v/>
      </c>
      <c r="G20" s="48"/>
      <c r="H20" s="48"/>
      <c r="AC20" s="45"/>
      <c r="AD20" s="33"/>
      <c r="AE20"/>
      <c r="AF20"/>
      <c r="AG20"/>
      <c r="AH20"/>
    </row>
    <row r="21" spans="1:34" s="49" customFormat="1" ht="15" customHeight="1">
      <c r="A21" s="57" t="s">
        <v>30</v>
      </c>
      <c r="B21" s="53">
        <v>3</v>
      </c>
      <c r="C21" s="52" t="s">
        <v>17</v>
      </c>
      <c r="D21" s="343">
        <v>8</v>
      </c>
      <c r="E21" s="35" t="s">
        <v>13</v>
      </c>
      <c r="F21" s="48" t="str">
        <f t="shared" ref="F21:F26" si="0">IF(D21="Ersatzruhetag","   ",IF(TYPE(D21)=2,"Bitte einen Zahlenwert, das Wort  Ersatzruhetag  oder  0,00  eintragen",IF(D21&gt;10,"Die tägliche Normalarbeitszeit darf nicht mehr als 10 h betragen - Bitte korrigieren",IF(D21&lt;0,"Ein Wert kleiner NULL ist nicht möglich - Bitte korrigieren",""))))</f>
        <v/>
      </c>
      <c r="G21" s="48"/>
      <c r="H21" s="48"/>
      <c r="AC21" s="45"/>
      <c r="AD21" s="33"/>
      <c r="AE21"/>
      <c r="AF21"/>
      <c r="AG21"/>
      <c r="AH21"/>
    </row>
    <row r="22" spans="1:34" s="49" customFormat="1" ht="15" customHeight="1">
      <c r="A22" s="62"/>
      <c r="B22" s="53">
        <v>4</v>
      </c>
      <c r="C22" s="52" t="s">
        <v>19</v>
      </c>
      <c r="D22" s="343">
        <v>8</v>
      </c>
      <c r="E22" s="35" t="s">
        <v>13</v>
      </c>
      <c r="F22" s="48" t="str">
        <f t="shared" si="0"/>
        <v/>
      </c>
      <c r="H22" s="2"/>
      <c r="AC22" s="45"/>
      <c r="AD22" s="33"/>
      <c r="AE22"/>
      <c r="AF22"/>
      <c r="AG22"/>
      <c r="AH22"/>
    </row>
    <row r="23" spans="1:34" s="49" customFormat="1" ht="15.95" customHeight="1">
      <c r="A23" s="62"/>
      <c r="B23" s="53">
        <v>5</v>
      </c>
      <c r="C23" s="52" t="s">
        <v>21</v>
      </c>
      <c r="D23" s="343">
        <v>8</v>
      </c>
      <c r="E23" s="35" t="s">
        <v>13</v>
      </c>
      <c r="F23" s="48" t="str">
        <f t="shared" si="0"/>
        <v/>
      </c>
      <c r="H23" s="65"/>
      <c r="AC23" s="45"/>
      <c r="AD23" s="33"/>
      <c r="AE23"/>
      <c r="AF23"/>
      <c r="AG23"/>
      <c r="AH23"/>
    </row>
    <row r="24" spans="1:34" s="49" customFormat="1" ht="15.95" customHeight="1">
      <c r="A24" s="62"/>
      <c r="B24" s="53">
        <v>6</v>
      </c>
      <c r="C24" s="52" t="s">
        <v>23</v>
      </c>
      <c r="D24" s="343">
        <v>6</v>
      </c>
      <c r="E24" s="35" t="s">
        <v>13</v>
      </c>
      <c r="F24" s="48" t="str">
        <f t="shared" si="0"/>
        <v/>
      </c>
      <c r="AC24" s="45"/>
      <c r="AD24" s="33"/>
      <c r="AE24"/>
      <c r="AF24"/>
      <c r="AG24"/>
      <c r="AH24"/>
    </row>
    <row r="25" spans="1:34" s="49" customFormat="1" ht="15.95" customHeight="1">
      <c r="B25" s="53">
        <v>7</v>
      </c>
      <c r="C25" s="67" t="s">
        <v>25</v>
      </c>
      <c r="D25" s="343">
        <v>0</v>
      </c>
      <c r="E25" s="49" t="s">
        <v>13</v>
      </c>
      <c r="F25" s="48" t="str">
        <f t="shared" si="0"/>
        <v/>
      </c>
      <c r="G25" s="68"/>
      <c r="AC25" s="45"/>
      <c r="AD25" s="33"/>
      <c r="AE25"/>
      <c r="AF25"/>
      <c r="AG25"/>
      <c r="AH25"/>
    </row>
    <row r="26" spans="1:34" s="49" customFormat="1" ht="15.95" customHeight="1" thickBot="1">
      <c r="A26" s="52"/>
      <c r="B26" s="53">
        <v>1</v>
      </c>
      <c r="C26" s="70" t="s">
        <v>187</v>
      </c>
      <c r="D26" s="343">
        <v>0</v>
      </c>
      <c r="E26" s="35" t="s">
        <v>13</v>
      </c>
      <c r="F26" s="48" t="str">
        <f t="shared" si="0"/>
        <v/>
      </c>
      <c r="J26" s="337" t="s">
        <v>33</v>
      </c>
      <c r="AC26" s="45"/>
      <c r="AD26" s="33"/>
      <c r="AE26"/>
      <c r="AF26"/>
      <c r="AG26"/>
      <c r="AH26"/>
    </row>
    <row r="27" spans="1:34" s="49" customFormat="1" ht="15.95" customHeight="1" thickBot="1">
      <c r="A27" s="52" t="s">
        <v>47</v>
      </c>
      <c r="B27" s="52"/>
      <c r="C27" s="52"/>
      <c r="D27" s="339">
        <f>SUM(D20:D26)</f>
        <v>38</v>
      </c>
      <c r="E27" s="71" t="s">
        <v>13</v>
      </c>
      <c r="J27" s="337" t="s">
        <v>36</v>
      </c>
      <c r="AC27" s="45"/>
      <c r="AD27" s="33"/>
      <c r="AE27"/>
      <c r="AF27"/>
      <c r="AG27"/>
      <c r="AH27"/>
    </row>
    <row r="28" spans="1:34" ht="15.95" customHeight="1">
      <c r="A28" s="52"/>
      <c r="B28" s="52"/>
      <c r="C28" s="52"/>
      <c r="D28" s="72"/>
      <c r="E28" s="35"/>
      <c r="J28" s="338" t="s">
        <v>38</v>
      </c>
      <c r="AC28" s="45"/>
      <c r="AD28" s="33"/>
    </row>
    <row r="29" spans="1:34" ht="15.95" customHeight="1">
      <c r="A29" s="52" t="s">
        <v>49</v>
      </c>
      <c r="B29" s="52"/>
      <c r="C29" s="52"/>
      <c r="D29" s="344">
        <v>5</v>
      </c>
      <c r="E29" s="71" t="s">
        <v>50</v>
      </c>
      <c r="AC29" s="45"/>
      <c r="AD29" s="45"/>
    </row>
    <row r="30" spans="1:34" ht="15.95" customHeight="1">
      <c r="A30" s="73"/>
      <c r="B30" s="73"/>
      <c r="AC30" s="45"/>
      <c r="AD30" s="45"/>
    </row>
    <row r="31" spans="1:34" s="71" customFormat="1" ht="15.95" customHeight="1">
      <c r="AC31" s="45"/>
      <c r="AD31" s="45"/>
      <c r="AE31"/>
      <c r="AF31"/>
      <c r="AG31"/>
      <c r="AH31"/>
    </row>
    <row r="32" spans="1:34" ht="15.95" customHeight="1">
      <c r="A32" s="74" t="s">
        <v>52</v>
      </c>
      <c r="F32" t="s">
        <v>53</v>
      </c>
      <c r="I32" s="28"/>
      <c r="J32" s="29" t="s">
        <v>5</v>
      </c>
      <c r="K32" s="30" t="s">
        <v>6</v>
      </c>
      <c r="L32" s="31"/>
      <c r="M32" s="29" t="s">
        <v>7</v>
      </c>
      <c r="N32" s="30" t="s">
        <v>6</v>
      </c>
      <c r="O32" s="31"/>
      <c r="P32" s="29" t="s">
        <v>8</v>
      </c>
      <c r="Q32" s="30" t="s">
        <v>6</v>
      </c>
      <c r="R32" s="31"/>
      <c r="S32" s="29" t="s">
        <v>9</v>
      </c>
      <c r="T32" s="30" t="s">
        <v>6</v>
      </c>
      <c r="U32" s="31"/>
      <c r="V32" s="29" t="s">
        <v>10</v>
      </c>
      <c r="W32" s="30" t="s">
        <v>6</v>
      </c>
      <c r="X32" s="31"/>
      <c r="Y32" s="29" t="s">
        <v>11</v>
      </c>
      <c r="Z32" s="30" t="s">
        <v>6</v>
      </c>
    </row>
    <row r="33" spans="1:26" ht="15.95" customHeight="1">
      <c r="I33" s="38">
        <v>2</v>
      </c>
      <c r="J33" s="39" t="s">
        <v>14</v>
      </c>
      <c r="K33" s="40">
        <f>$D$20</f>
        <v>8</v>
      </c>
      <c r="L33" s="41">
        <v>2</v>
      </c>
      <c r="M33" s="39" t="s">
        <v>14</v>
      </c>
      <c r="N33" s="40">
        <f t="shared" ref="N33:N39" si="1">K33</f>
        <v>8</v>
      </c>
      <c r="O33" s="41">
        <v>2</v>
      </c>
      <c r="P33" s="39" t="s">
        <v>14</v>
      </c>
      <c r="Q33" s="40">
        <f t="shared" ref="Q33:Q39" si="2">N33</f>
        <v>8</v>
      </c>
      <c r="R33" s="41">
        <v>2</v>
      </c>
      <c r="S33" s="39" t="s">
        <v>14</v>
      </c>
      <c r="T33" s="40">
        <f t="shared" ref="T33:T39" si="3">Q33</f>
        <v>8</v>
      </c>
      <c r="U33" s="41">
        <v>2</v>
      </c>
      <c r="V33" s="39" t="s">
        <v>14</v>
      </c>
      <c r="W33" s="40">
        <f t="shared" ref="W33:W39" si="4">T33</f>
        <v>8</v>
      </c>
      <c r="X33" s="41">
        <v>2</v>
      </c>
      <c r="Y33" s="39" t="s">
        <v>14</v>
      </c>
      <c r="Z33" s="40">
        <f t="shared" ref="Z33:Z39" si="5">W33</f>
        <v>8</v>
      </c>
    </row>
    <row r="34" spans="1:26" ht="14.1" customHeight="1">
      <c r="A34" s="42" t="s">
        <v>54</v>
      </c>
      <c r="B34" s="76">
        <v>2</v>
      </c>
      <c r="C34" s="77">
        <v>1</v>
      </c>
      <c r="D34" s="78" t="s">
        <v>55</v>
      </c>
      <c r="E34" s="79"/>
      <c r="F34" s="79"/>
      <c r="G34" s="79"/>
      <c r="H34" s="79"/>
      <c r="I34" s="38">
        <v>3</v>
      </c>
      <c r="J34" s="39" t="s">
        <v>17</v>
      </c>
      <c r="K34" s="43">
        <f>$D$21</f>
        <v>8</v>
      </c>
      <c r="L34" s="41">
        <v>3</v>
      </c>
      <c r="M34" s="39" t="s">
        <v>17</v>
      </c>
      <c r="N34" s="43">
        <f t="shared" si="1"/>
        <v>8</v>
      </c>
      <c r="O34" s="41">
        <v>3</v>
      </c>
      <c r="P34" s="39" t="s">
        <v>17</v>
      </c>
      <c r="Q34" s="43">
        <f t="shared" si="2"/>
        <v>8</v>
      </c>
      <c r="R34" s="41">
        <v>3</v>
      </c>
      <c r="S34" s="39" t="s">
        <v>17</v>
      </c>
      <c r="T34" s="43">
        <f t="shared" si="3"/>
        <v>8</v>
      </c>
      <c r="U34" s="41">
        <v>3</v>
      </c>
      <c r="V34" s="39" t="s">
        <v>17</v>
      </c>
      <c r="W34" s="43">
        <f t="shared" si="4"/>
        <v>8</v>
      </c>
      <c r="X34" s="41">
        <v>3</v>
      </c>
      <c r="Y34" s="39" t="s">
        <v>17</v>
      </c>
      <c r="Z34" s="43">
        <f t="shared" si="5"/>
        <v>8</v>
      </c>
    </row>
    <row r="35" spans="1:26" ht="14.1" customHeight="1">
      <c r="B35" s="26"/>
      <c r="C35" s="77">
        <v>2</v>
      </c>
      <c r="D35" s="78" t="s">
        <v>56</v>
      </c>
      <c r="E35" s="79"/>
      <c r="F35" s="79"/>
      <c r="G35" s="79"/>
      <c r="H35" s="79"/>
      <c r="I35" s="38">
        <v>4</v>
      </c>
      <c r="J35" s="39" t="s">
        <v>19</v>
      </c>
      <c r="K35" s="43">
        <f>$D$22</f>
        <v>8</v>
      </c>
      <c r="L35" s="41">
        <v>4</v>
      </c>
      <c r="M35" s="39" t="s">
        <v>19</v>
      </c>
      <c r="N35" s="43">
        <f t="shared" si="1"/>
        <v>8</v>
      </c>
      <c r="O35" s="41">
        <v>4</v>
      </c>
      <c r="P35" s="39" t="s">
        <v>19</v>
      </c>
      <c r="Q35" s="43">
        <f t="shared" si="2"/>
        <v>8</v>
      </c>
      <c r="R35" s="41">
        <v>4</v>
      </c>
      <c r="S35" s="39" t="s">
        <v>19</v>
      </c>
      <c r="T35" s="43">
        <f t="shared" si="3"/>
        <v>8</v>
      </c>
      <c r="U35" s="41">
        <v>4</v>
      </c>
      <c r="V35" s="39" t="s">
        <v>19</v>
      </c>
      <c r="W35" s="43">
        <f t="shared" si="4"/>
        <v>8</v>
      </c>
      <c r="X35" s="41">
        <v>4</v>
      </c>
      <c r="Y35" s="39" t="s">
        <v>19</v>
      </c>
      <c r="Z35" s="43">
        <f t="shared" si="5"/>
        <v>8</v>
      </c>
    </row>
    <row r="36" spans="1:26" ht="14.1" customHeight="1">
      <c r="A36" s="80"/>
      <c r="B36" s="81"/>
      <c r="C36" s="77">
        <v>3</v>
      </c>
      <c r="D36" s="78" t="s">
        <v>57</v>
      </c>
      <c r="E36" s="79"/>
      <c r="F36" s="79"/>
      <c r="G36" s="79"/>
      <c r="H36" s="79"/>
      <c r="I36" s="38">
        <v>5</v>
      </c>
      <c r="J36" s="39" t="s">
        <v>21</v>
      </c>
      <c r="K36" s="43">
        <f>$D$23</f>
        <v>8</v>
      </c>
      <c r="L36" s="41">
        <v>5</v>
      </c>
      <c r="M36" s="39" t="s">
        <v>21</v>
      </c>
      <c r="N36" s="43">
        <f t="shared" si="1"/>
        <v>8</v>
      </c>
      <c r="O36" s="41">
        <v>5</v>
      </c>
      <c r="P36" s="39" t="s">
        <v>21</v>
      </c>
      <c r="Q36" s="43">
        <f t="shared" si="2"/>
        <v>8</v>
      </c>
      <c r="R36" s="41">
        <v>5</v>
      </c>
      <c r="S36" s="39" t="s">
        <v>21</v>
      </c>
      <c r="T36" s="43">
        <f t="shared" si="3"/>
        <v>8</v>
      </c>
      <c r="U36" s="41">
        <v>5</v>
      </c>
      <c r="V36" s="39" t="s">
        <v>21</v>
      </c>
      <c r="W36" s="43">
        <f t="shared" si="4"/>
        <v>8</v>
      </c>
      <c r="X36" s="41">
        <v>5</v>
      </c>
      <c r="Y36" s="39" t="s">
        <v>21</v>
      </c>
      <c r="Z36" s="43">
        <f t="shared" si="5"/>
        <v>8</v>
      </c>
    </row>
    <row r="37" spans="1:26" ht="15.95" customHeight="1">
      <c r="A37" s="82"/>
      <c r="C37" s="77">
        <v>4</v>
      </c>
      <c r="D37" s="78" t="s">
        <v>186</v>
      </c>
      <c r="I37" s="38">
        <v>6</v>
      </c>
      <c r="J37" s="39" t="s">
        <v>23</v>
      </c>
      <c r="K37" s="43">
        <f>$D$24</f>
        <v>6</v>
      </c>
      <c r="L37" s="41">
        <v>6</v>
      </c>
      <c r="M37" s="39" t="s">
        <v>23</v>
      </c>
      <c r="N37" s="43">
        <f t="shared" si="1"/>
        <v>6</v>
      </c>
      <c r="O37" s="41">
        <v>6</v>
      </c>
      <c r="P37" s="39" t="s">
        <v>23</v>
      </c>
      <c r="Q37" s="43">
        <f t="shared" si="2"/>
        <v>6</v>
      </c>
      <c r="R37" s="41">
        <v>6</v>
      </c>
      <c r="S37" s="39" t="s">
        <v>23</v>
      </c>
      <c r="T37" s="43">
        <f t="shared" si="3"/>
        <v>6</v>
      </c>
      <c r="U37" s="41">
        <v>6</v>
      </c>
      <c r="V37" s="39" t="s">
        <v>23</v>
      </c>
      <c r="W37" s="43">
        <f t="shared" si="4"/>
        <v>6</v>
      </c>
      <c r="X37" s="41">
        <v>6</v>
      </c>
      <c r="Y37" s="39" t="s">
        <v>23</v>
      </c>
      <c r="Z37" s="43">
        <f t="shared" si="5"/>
        <v>6</v>
      </c>
    </row>
    <row r="38" spans="1:26" ht="15.95" customHeight="1">
      <c r="A38" s="82" t="str">
        <f>IF(B34&lt;&gt;1,IF(B34&lt;&gt;2,IF(B34&lt;&gt;3,IF(B34&lt;&gt;4,"ACHTUNG: Arbeitszeitmodell wurde nicht korrekt definiert",""),""),""),"")</f>
        <v/>
      </c>
      <c r="I38" s="38">
        <v>7</v>
      </c>
      <c r="J38" s="50" t="s">
        <v>25</v>
      </c>
      <c r="K38" s="51">
        <f>$D$25</f>
        <v>0</v>
      </c>
      <c r="L38" s="41">
        <v>7</v>
      </c>
      <c r="M38" s="50" t="s">
        <v>25</v>
      </c>
      <c r="N38" s="51">
        <f t="shared" si="1"/>
        <v>0</v>
      </c>
      <c r="O38" s="41">
        <v>7</v>
      </c>
      <c r="P38" s="50" t="s">
        <v>25</v>
      </c>
      <c r="Q38" s="51">
        <f t="shared" si="2"/>
        <v>0</v>
      </c>
      <c r="R38" s="41">
        <v>7</v>
      </c>
      <c r="S38" s="50" t="s">
        <v>25</v>
      </c>
      <c r="T38" s="51">
        <f t="shared" si="3"/>
        <v>0</v>
      </c>
      <c r="U38" s="41">
        <v>7</v>
      </c>
      <c r="V38" s="50" t="s">
        <v>25</v>
      </c>
      <c r="W38" s="51">
        <f t="shared" si="4"/>
        <v>0</v>
      </c>
      <c r="X38" s="41">
        <v>7</v>
      </c>
      <c r="Y38" s="50" t="s">
        <v>25</v>
      </c>
      <c r="Z38" s="51">
        <f t="shared" si="5"/>
        <v>0</v>
      </c>
    </row>
    <row r="39" spans="1:26" ht="15.95" customHeight="1">
      <c r="A39" s="42" t="s">
        <v>58</v>
      </c>
      <c r="D39" s="83" t="s">
        <v>199</v>
      </c>
      <c r="E39" s="84"/>
      <c r="F39" s="84"/>
      <c r="G39" s="85"/>
      <c r="I39" s="38">
        <v>1</v>
      </c>
      <c r="J39" s="50" t="s">
        <v>187</v>
      </c>
      <c r="K39" s="51">
        <f>$D$26</f>
        <v>0</v>
      </c>
      <c r="L39" s="41">
        <v>1</v>
      </c>
      <c r="M39" s="50" t="s">
        <v>187</v>
      </c>
      <c r="N39" s="51">
        <f t="shared" si="1"/>
        <v>0</v>
      </c>
      <c r="O39" s="41">
        <v>1</v>
      </c>
      <c r="P39" s="50" t="s">
        <v>187</v>
      </c>
      <c r="Q39" s="51">
        <f t="shared" si="2"/>
        <v>0</v>
      </c>
      <c r="R39" s="41">
        <v>1</v>
      </c>
      <c r="S39" s="50" t="s">
        <v>187</v>
      </c>
      <c r="T39" s="51">
        <f t="shared" si="3"/>
        <v>0</v>
      </c>
      <c r="U39" s="41">
        <v>1</v>
      </c>
      <c r="V39" s="50" t="s">
        <v>187</v>
      </c>
      <c r="W39" s="51">
        <f t="shared" si="4"/>
        <v>0</v>
      </c>
      <c r="X39" s="41">
        <v>1</v>
      </c>
      <c r="Y39" s="50" t="s">
        <v>187</v>
      </c>
      <c r="Z39" s="51">
        <f t="shared" si="5"/>
        <v>0</v>
      </c>
    </row>
    <row r="40" spans="1:26" ht="15.95" customHeight="1">
      <c r="A40" s="42"/>
      <c r="D40" s="82"/>
      <c r="I40" s="54"/>
      <c r="J40" s="55" t="s">
        <v>28</v>
      </c>
      <c r="K40" s="56">
        <f>SUM(K33:K39)</f>
        <v>38</v>
      </c>
      <c r="L40" s="49"/>
      <c r="M40" s="55" t="s">
        <v>28</v>
      </c>
      <c r="N40" s="56">
        <f>SUM(N33:N39)</f>
        <v>38</v>
      </c>
      <c r="O40" s="49"/>
      <c r="P40" s="55" t="s">
        <v>28</v>
      </c>
      <c r="Q40" s="56">
        <f>SUM(Q33:Q39)</f>
        <v>38</v>
      </c>
      <c r="R40" s="49"/>
      <c r="S40" s="55" t="s">
        <v>28</v>
      </c>
      <c r="T40" s="56">
        <f>SUM(T33:T39)</f>
        <v>38</v>
      </c>
      <c r="U40" s="49"/>
      <c r="V40" s="55" t="s">
        <v>28</v>
      </c>
      <c r="W40" s="56">
        <f>SUM(W33:W39)</f>
        <v>38</v>
      </c>
      <c r="X40" s="49"/>
      <c r="Y40" s="55" t="s">
        <v>28</v>
      </c>
      <c r="Z40" s="56">
        <f>SUM(Z33:Z39)</f>
        <v>38</v>
      </c>
    </row>
    <row r="41" spans="1:26" ht="15.95" customHeight="1">
      <c r="A41" s="42"/>
      <c r="D41" s="86" t="s">
        <v>59</v>
      </c>
      <c r="I41" s="28"/>
      <c r="J41" s="58"/>
      <c r="K41" s="59"/>
      <c r="L41" s="60"/>
      <c r="M41" s="58" t="s">
        <v>31</v>
      </c>
      <c r="N41" s="61">
        <v>0</v>
      </c>
      <c r="O41" s="60"/>
      <c r="P41" s="58" t="s">
        <v>31</v>
      </c>
      <c r="Q41" s="61">
        <v>0</v>
      </c>
      <c r="R41" s="60"/>
      <c r="S41" s="58" t="s">
        <v>31</v>
      </c>
      <c r="T41" s="61">
        <v>0</v>
      </c>
      <c r="U41" s="60"/>
      <c r="V41" s="58" t="s">
        <v>31</v>
      </c>
      <c r="W41" s="61">
        <v>0</v>
      </c>
      <c r="X41" s="60"/>
      <c r="Y41" s="58" t="s">
        <v>31</v>
      </c>
      <c r="Z41" s="61">
        <v>0</v>
      </c>
    </row>
    <row r="42" spans="1:26" ht="15.95" customHeight="1">
      <c r="A42" s="87" t="str">
        <f>"Feiertage/Dienstfreie Tage im Jahr "&amp;F5</f>
        <v>Feiertage/Dienstfreie Tage im Jahr 2026</v>
      </c>
      <c r="B42" s="87"/>
      <c r="C42" s="87"/>
      <c r="D42" s="342" t="s">
        <v>60</v>
      </c>
      <c r="E42" s="89"/>
      <c r="F42" s="89"/>
      <c r="G42" s="88"/>
      <c r="H42" s="88"/>
      <c r="I42" s="31"/>
      <c r="J42" s="58" t="s">
        <v>34</v>
      </c>
      <c r="K42" s="63">
        <f>B34</f>
        <v>2</v>
      </c>
      <c r="L42" s="64"/>
      <c r="M42" s="58" t="s">
        <v>34</v>
      </c>
      <c r="N42" s="63">
        <f>K42</f>
        <v>2</v>
      </c>
      <c r="O42" s="64"/>
      <c r="P42" s="58" t="s">
        <v>34</v>
      </c>
      <c r="Q42" s="63">
        <f>N42</f>
        <v>2</v>
      </c>
      <c r="R42" s="64"/>
      <c r="S42" s="58" t="s">
        <v>34</v>
      </c>
      <c r="T42" s="63">
        <f>Q42</f>
        <v>2</v>
      </c>
      <c r="U42" s="64"/>
      <c r="V42" s="58" t="s">
        <v>34</v>
      </c>
      <c r="W42" s="63">
        <f>T42</f>
        <v>2</v>
      </c>
      <c r="X42" s="64"/>
      <c r="Y42" s="58" t="s">
        <v>34</v>
      </c>
      <c r="Z42" s="63">
        <f>W42</f>
        <v>2</v>
      </c>
    </row>
    <row r="43" spans="1:26" ht="15.95" customHeight="1">
      <c r="A43" s="91">
        <f>DATE(F$5,1,1)</f>
        <v>46023</v>
      </c>
      <c r="B43" s="75"/>
      <c r="C43" s="90" t="s">
        <v>61</v>
      </c>
      <c r="D43" s="92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5.95" customHeight="1">
      <c r="A44" s="91">
        <f>DATE(F$5,1,6)</f>
        <v>46028</v>
      </c>
      <c r="B44" s="75"/>
      <c r="C44" s="90" t="s">
        <v>62</v>
      </c>
      <c r="D44" s="94"/>
      <c r="F44" s="2"/>
      <c r="G44" s="347" t="s">
        <v>182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95" customHeight="1" thickBot="1">
      <c r="A45" s="95" t="str">
        <f>IF(D45=1,DATE(F$5,3,19),"nicht frei")</f>
        <v>nicht frei</v>
      </c>
      <c r="B45" s="96"/>
      <c r="C45" s="97" t="s">
        <v>63</v>
      </c>
      <c r="D45" s="76"/>
      <c r="F45" s="64"/>
      <c r="G45" s="64"/>
      <c r="I45" s="69"/>
      <c r="J45" s="29" t="s">
        <v>40</v>
      </c>
      <c r="K45" s="30" t="s">
        <v>6</v>
      </c>
      <c r="L45" s="31"/>
      <c r="M45" s="29" t="s">
        <v>41</v>
      </c>
      <c r="N45" s="30" t="s">
        <v>6</v>
      </c>
      <c r="O45" s="31"/>
      <c r="P45" s="29" t="s">
        <v>42</v>
      </c>
      <c r="Q45" s="30" t="s">
        <v>6</v>
      </c>
      <c r="R45" s="31"/>
      <c r="S45" s="29" t="s">
        <v>43</v>
      </c>
      <c r="T45" s="30" t="s">
        <v>6</v>
      </c>
      <c r="U45" s="31"/>
      <c r="V45" s="29" t="s">
        <v>44</v>
      </c>
      <c r="W45" s="30" t="s">
        <v>6</v>
      </c>
      <c r="X45" s="31"/>
      <c r="Y45" s="29" t="s">
        <v>45</v>
      </c>
      <c r="Z45" s="30" t="s">
        <v>6</v>
      </c>
    </row>
    <row r="46" spans="1:26" ht="15.95" customHeight="1" thickBot="1">
      <c r="A46" s="95">
        <f>IF(D46=1,A48-2,"nicht frei")</f>
        <v>46115</v>
      </c>
      <c r="B46" s="97"/>
      <c r="C46" s="97" t="s">
        <v>64</v>
      </c>
      <c r="D46" s="76">
        <v>1</v>
      </c>
      <c r="F46" s="64"/>
      <c r="G46" s="113" t="s">
        <v>178</v>
      </c>
      <c r="I46" s="38">
        <v>2</v>
      </c>
      <c r="J46" s="39" t="s">
        <v>14</v>
      </c>
      <c r="K46" s="40">
        <f t="shared" ref="K46:K52" si="6">Z33</f>
        <v>8</v>
      </c>
      <c r="L46" s="41">
        <v>2</v>
      </c>
      <c r="M46" s="39" t="s">
        <v>14</v>
      </c>
      <c r="N46" s="40">
        <f t="shared" ref="N46:N52" si="7">K46</f>
        <v>8</v>
      </c>
      <c r="O46" s="41">
        <v>2</v>
      </c>
      <c r="P46" s="39" t="s">
        <v>14</v>
      </c>
      <c r="Q46" s="40">
        <f t="shared" ref="Q46:Q52" si="8">N46</f>
        <v>8</v>
      </c>
      <c r="R46" s="41">
        <v>2</v>
      </c>
      <c r="S46" s="39" t="s">
        <v>14</v>
      </c>
      <c r="T46" s="40">
        <f t="shared" ref="T46:T52" si="9">Q46</f>
        <v>8</v>
      </c>
      <c r="U46" s="41">
        <v>2</v>
      </c>
      <c r="V46" s="39" t="s">
        <v>14</v>
      </c>
      <c r="W46" s="40">
        <f t="shared" ref="W46:W52" si="10">T46</f>
        <v>8</v>
      </c>
      <c r="X46" s="41">
        <v>2</v>
      </c>
      <c r="Y46" s="39" t="s">
        <v>14</v>
      </c>
      <c r="Z46" s="40">
        <f t="shared" ref="Z46:Z52" si="11">W46</f>
        <v>8</v>
      </c>
    </row>
    <row r="47" spans="1:26" ht="15.95" customHeight="1">
      <c r="A47" s="91"/>
      <c r="B47" s="90"/>
      <c r="C47" s="90"/>
      <c r="D47" s="98"/>
      <c r="F47" s="64"/>
      <c r="G47" s="345" t="s">
        <v>175</v>
      </c>
      <c r="I47" s="38">
        <v>3</v>
      </c>
      <c r="J47" s="39" t="s">
        <v>17</v>
      </c>
      <c r="K47" s="43">
        <f t="shared" si="6"/>
        <v>8</v>
      </c>
      <c r="L47" s="41">
        <v>3</v>
      </c>
      <c r="M47" s="39" t="s">
        <v>17</v>
      </c>
      <c r="N47" s="43">
        <f t="shared" si="7"/>
        <v>8</v>
      </c>
      <c r="O47" s="41">
        <v>3</v>
      </c>
      <c r="P47" s="39" t="s">
        <v>17</v>
      </c>
      <c r="Q47" s="43">
        <f t="shared" si="8"/>
        <v>8</v>
      </c>
      <c r="R47" s="41">
        <v>3</v>
      </c>
      <c r="S47" s="39" t="s">
        <v>17</v>
      </c>
      <c r="T47" s="43">
        <f t="shared" si="9"/>
        <v>8</v>
      </c>
      <c r="U47" s="41">
        <v>3</v>
      </c>
      <c r="V47" s="39" t="s">
        <v>17</v>
      </c>
      <c r="W47" s="43">
        <f t="shared" si="10"/>
        <v>8</v>
      </c>
      <c r="X47" s="41">
        <v>3</v>
      </c>
      <c r="Y47" s="39" t="s">
        <v>17</v>
      </c>
      <c r="Z47" s="43">
        <f t="shared" si="11"/>
        <v>8</v>
      </c>
    </row>
    <row r="48" spans="1:26" ht="15.95" customHeight="1">
      <c r="A48" s="99">
        <f>DATE(F5,F80,F86)</f>
        <v>46117</v>
      </c>
      <c r="B48" s="93"/>
      <c r="C48" s="100" t="s">
        <v>189</v>
      </c>
      <c r="D48" s="101"/>
      <c r="E48" s="102"/>
      <c r="F48" s="64"/>
      <c r="G48" s="345" t="s">
        <v>176</v>
      </c>
      <c r="I48" s="38">
        <v>4</v>
      </c>
      <c r="J48" s="39" t="s">
        <v>19</v>
      </c>
      <c r="K48" s="43">
        <f t="shared" si="6"/>
        <v>8</v>
      </c>
      <c r="L48" s="41">
        <v>4</v>
      </c>
      <c r="M48" s="39" t="s">
        <v>19</v>
      </c>
      <c r="N48" s="43">
        <f t="shared" si="7"/>
        <v>8</v>
      </c>
      <c r="O48" s="41">
        <v>4</v>
      </c>
      <c r="P48" s="39" t="s">
        <v>19</v>
      </c>
      <c r="Q48" s="43">
        <f t="shared" si="8"/>
        <v>8</v>
      </c>
      <c r="R48" s="41">
        <v>4</v>
      </c>
      <c r="S48" s="39" t="s">
        <v>19</v>
      </c>
      <c r="T48" s="43">
        <f t="shared" si="9"/>
        <v>8</v>
      </c>
      <c r="U48" s="41">
        <v>4</v>
      </c>
      <c r="V48" s="39" t="s">
        <v>19</v>
      </c>
      <c r="W48" s="43">
        <f t="shared" si="10"/>
        <v>8</v>
      </c>
      <c r="X48" s="41">
        <v>4</v>
      </c>
      <c r="Y48" s="39" t="s">
        <v>19</v>
      </c>
      <c r="Z48" s="43">
        <f t="shared" si="11"/>
        <v>8</v>
      </c>
    </row>
    <row r="49" spans="1:26" ht="15.95" customHeight="1" thickBot="1">
      <c r="A49" s="91">
        <f>A48+1</f>
        <v>46118</v>
      </c>
      <c r="B49" s="75"/>
      <c r="C49" s="103" t="s">
        <v>65</v>
      </c>
      <c r="D49" s="98"/>
      <c r="F49" s="64"/>
      <c r="G49" s="345" t="s">
        <v>69</v>
      </c>
      <c r="I49" s="38">
        <v>5</v>
      </c>
      <c r="J49" s="39" t="s">
        <v>21</v>
      </c>
      <c r="K49" s="43">
        <f t="shared" si="6"/>
        <v>8</v>
      </c>
      <c r="L49" s="41">
        <v>5</v>
      </c>
      <c r="M49" s="39" t="s">
        <v>21</v>
      </c>
      <c r="N49" s="43">
        <f t="shared" si="7"/>
        <v>8</v>
      </c>
      <c r="O49" s="41">
        <v>5</v>
      </c>
      <c r="P49" s="39" t="s">
        <v>21</v>
      </c>
      <c r="Q49" s="43">
        <f t="shared" si="8"/>
        <v>8</v>
      </c>
      <c r="R49" s="41">
        <v>5</v>
      </c>
      <c r="S49" s="39" t="s">
        <v>21</v>
      </c>
      <c r="T49" s="43">
        <f t="shared" si="9"/>
        <v>8</v>
      </c>
      <c r="U49" s="41">
        <v>5</v>
      </c>
      <c r="V49" s="39" t="s">
        <v>21</v>
      </c>
      <c r="W49" s="43">
        <f t="shared" si="10"/>
        <v>8</v>
      </c>
      <c r="X49" s="41">
        <v>5</v>
      </c>
      <c r="Y49" s="39" t="s">
        <v>21</v>
      </c>
      <c r="Z49" s="43">
        <f t="shared" si="11"/>
        <v>8</v>
      </c>
    </row>
    <row r="50" spans="1:26" ht="15.95" customHeight="1" thickBot="1">
      <c r="A50" s="95" t="str">
        <f>IF(D50=1,A49+1,"nicht frei")</f>
        <v>nicht frei</v>
      </c>
      <c r="B50" s="96"/>
      <c r="C50" s="104" t="s">
        <v>176</v>
      </c>
      <c r="D50" s="76"/>
      <c r="F50" s="64"/>
      <c r="G50" s="345" t="s">
        <v>185</v>
      </c>
      <c r="I50" s="38">
        <v>6</v>
      </c>
      <c r="J50" s="39" t="s">
        <v>23</v>
      </c>
      <c r="K50" s="43">
        <f t="shared" si="6"/>
        <v>6</v>
      </c>
      <c r="L50" s="41">
        <v>6</v>
      </c>
      <c r="M50" s="39" t="s">
        <v>23</v>
      </c>
      <c r="N50" s="43">
        <f t="shared" si="7"/>
        <v>6</v>
      </c>
      <c r="O50" s="41">
        <v>6</v>
      </c>
      <c r="P50" s="39" t="s">
        <v>23</v>
      </c>
      <c r="Q50" s="43">
        <f t="shared" si="8"/>
        <v>6</v>
      </c>
      <c r="R50" s="41">
        <v>6</v>
      </c>
      <c r="S50" s="39" t="s">
        <v>23</v>
      </c>
      <c r="T50" s="43">
        <f t="shared" si="9"/>
        <v>6</v>
      </c>
      <c r="U50" s="41">
        <v>6</v>
      </c>
      <c r="V50" s="39" t="s">
        <v>23</v>
      </c>
      <c r="W50" s="43">
        <f t="shared" si="10"/>
        <v>6</v>
      </c>
      <c r="X50" s="41">
        <v>6</v>
      </c>
      <c r="Y50" s="39" t="s">
        <v>23</v>
      </c>
      <c r="Z50" s="43">
        <f t="shared" si="11"/>
        <v>6</v>
      </c>
    </row>
    <row r="51" spans="1:26" ht="15.95" customHeight="1">
      <c r="A51" s="91">
        <f>DATE(F$5,5,1)</f>
        <v>46143</v>
      </c>
      <c r="B51" s="75"/>
      <c r="C51" s="90" t="s">
        <v>66</v>
      </c>
      <c r="D51" s="98"/>
      <c r="F51" s="64"/>
      <c r="G51" s="348" t="s">
        <v>184</v>
      </c>
      <c r="I51" s="38">
        <v>7</v>
      </c>
      <c r="J51" s="39" t="s">
        <v>25</v>
      </c>
      <c r="K51" s="51">
        <f t="shared" si="6"/>
        <v>0</v>
      </c>
      <c r="L51" s="41">
        <v>7</v>
      </c>
      <c r="M51" s="39" t="s">
        <v>25</v>
      </c>
      <c r="N51" s="51">
        <f t="shared" si="7"/>
        <v>0</v>
      </c>
      <c r="O51" s="41">
        <v>7</v>
      </c>
      <c r="P51" s="39" t="s">
        <v>25</v>
      </c>
      <c r="Q51" s="51">
        <f t="shared" si="8"/>
        <v>0</v>
      </c>
      <c r="R51" s="41">
        <v>7</v>
      </c>
      <c r="S51" s="39" t="s">
        <v>25</v>
      </c>
      <c r="T51" s="51">
        <f t="shared" si="9"/>
        <v>0</v>
      </c>
      <c r="U51" s="41">
        <v>7</v>
      </c>
      <c r="V51" s="39" t="s">
        <v>25</v>
      </c>
      <c r="W51" s="51">
        <f t="shared" si="10"/>
        <v>0</v>
      </c>
      <c r="X51" s="41">
        <v>7</v>
      </c>
      <c r="Y51" s="39" t="s">
        <v>25</v>
      </c>
      <c r="Z51" s="51">
        <f t="shared" si="11"/>
        <v>0</v>
      </c>
    </row>
    <row r="52" spans="1:26" ht="15.95" customHeight="1">
      <c r="A52" s="91">
        <f>A48+39</f>
        <v>46156</v>
      </c>
      <c r="B52" s="75"/>
      <c r="C52" s="105" t="s">
        <v>67</v>
      </c>
      <c r="D52" s="98"/>
      <c r="F52" s="64"/>
      <c r="G52" s="348" t="s">
        <v>183</v>
      </c>
      <c r="I52" s="38">
        <v>1</v>
      </c>
      <c r="J52" s="50" t="s">
        <v>187</v>
      </c>
      <c r="K52" s="51">
        <f t="shared" si="6"/>
        <v>0</v>
      </c>
      <c r="L52" s="41">
        <v>1</v>
      </c>
      <c r="M52" s="50" t="s">
        <v>187</v>
      </c>
      <c r="N52" s="51">
        <f t="shared" si="7"/>
        <v>0</v>
      </c>
      <c r="O52" s="41">
        <v>1</v>
      </c>
      <c r="P52" s="50" t="s">
        <v>187</v>
      </c>
      <c r="Q52" s="51">
        <f t="shared" si="8"/>
        <v>0</v>
      </c>
      <c r="R52" s="41">
        <v>1</v>
      </c>
      <c r="S52" s="50" t="s">
        <v>187</v>
      </c>
      <c r="T52" s="51">
        <f t="shared" si="9"/>
        <v>0</v>
      </c>
      <c r="U52" s="41">
        <v>1</v>
      </c>
      <c r="V52" s="50" t="s">
        <v>187</v>
      </c>
      <c r="W52" s="51">
        <f t="shared" si="10"/>
        <v>0</v>
      </c>
      <c r="X52" s="41">
        <v>1</v>
      </c>
      <c r="Y52" s="50" t="s">
        <v>187</v>
      </c>
      <c r="Z52" s="51">
        <f t="shared" si="11"/>
        <v>0</v>
      </c>
    </row>
    <row r="53" spans="1:26" ht="15.95" customHeight="1">
      <c r="A53" s="91">
        <f>A48+49</f>
        <v>46166</v>
      </c>
      <c r="B53" s="75"/>
      <c r="C53" s="90" t="s">
        <v>191</v>
      </c>
      <c r="D53" s="98"/>
      <c r="F53" s="64"/>
      <c r="I53" s="75"/>
      <c r="J53" s="55" t="s">
        <v>28</v>
      </c>
      <c r="K53" s="56">
        <f>SUM(K46:K52)</f>
        <v>38</v>
      </c>
      <c r="L53" s="49"/>
      <c r="M53" s="55" t="s">
        <v>28</v>
      </c>
      <c r="N53" s="56">
        <f>SUM(N46:N52)</f>
        <v>38</v>
      </c>
      <c r="O53" s="49"/>
      <c r="P53" s="55" t="s">
        <v>28</v>
      </c>
      <c r="Q53" s="56">
        <f>SUM(Q46:Q52)</f>
        <v>38</v>
      </c>
      <c r="R53" s="49"/>
      <c r="S53" s="55" t="s">
        <v>28</v>
      </c>
      <c r="T53" s="56">
        <f>SUM(T46:T52)</f>
        <v>38</v>
      </c>
      <c r="U53" s="49"/>
      <c r="V53" s="55" t="s">
        <v>28</v>
      </c>
      <c r="W53" s="56">
        <f>SUM(W46:W52)</f>
        <v>38</v>
      </c>
      <c r="X53" s="49"/>
      <c r="Y53" s="55" t="s">
        <v>28</v>
      </c>
      <c r="Z53" s="56">
        <f>SUM(Z46:Z52)</f>
        <v>38</v>
      </c>
    </row>
    <row r="54" spans="1:26" ht="15.95" customHeight="1" thickBot="1">
      <c r="A54" s="91">
        <f>A48+50</f>
        <v>46167</v>
      </c>
      <c r="B54" s="75"/>
      <c r="C54" s="90" t="s">
        <v>68</v>
      </c>
      <c r="D54" s="98"/>
      <c r="F54" s="64"/>
      <c r="J54" s="58" t="s">
        <v>31</v>
      </c>
      <c r="K54" s="61">
        <v>0</v>
      </c>
      <c r="L54" s="64"/>
      <c r="M54" s="58" t="s">
        <v>31</v>
      </c>
      <c r="N54" s="61">
        <v>0</v>
      </c>
      <c r="O54" s="64"/>
      <c r="P54" s="58" t="s">
        <v>31</v>
      </c>
      <c r="Q54" s="61">
        <v>0</v>
      </c>
      <c r="R54" s="64"/>
      <c r="S54" s="58" t="s">
        <v>31</v>
      </c>
      <c r="T54" s="61">
        <v>0</v>
      </c>
      <c r="U54" s="64"/>
      <c r="V54" s="58" t="s">
        <v>31</v>
      </c>
      <c r="W54" s="61">
        <v>0</v>
      </c>
      <c r="X54" s="64"/>
      <c r="Y54" s="58" t="s">
        <v>31</v>
      </c>
      <c r="Z54" s="61">
        <v>0</v>
      </c>
    </row>
    <row r="55" spans="1:26" ht="15.95" customHeight="1" thickBot="1">
      <c r="A55" s="95" t="str">
        <f>IF(D55=1,A54+1,"nicht frei")</f>
        <v>nicht frei</v>
      </c>
      <c r="B55" s="96"/>
      <c r="C55" s="97" t="s">
        <v>69</v>
      </c>
      <c r="D55" s="76"/>
      <c r="F55" s="64"/>
      <c r="G55" s="346" t="s">
        <v>177</v>
      </c>
      <c r="J55" s="58" t="s">
        <v>34</v>
      </c>
      <c r="K55" s="63">
        <f>Z42</f>
        <v>2</v>
      </c>
      <c r="M55" s="58" t="s">
        <v>34</v>
      </c>
      <c r="N55" s="63">
        <f>K55</f>
        <v>2</v>
      </c>
      <c r="P55" s="58" t="s">
        <v>34</v>
      </c>
      <c r="Q55" s="63">
        <f>N55</f>
        <v>2</v>
      </c>
      <c r="S55" s="58" t="s">
        <v>34</v>
      </c>
      <c r="T55" s="63">
        <f>Q55</f>
        <v>2</v>
      </c>
      <c r="V55" s="58" t="s">
        <v>34</v>
      </c>
      <c r="W55" s="63">
        <f>T55</f>
        <v>2</v>
      </c>
      <c r="Y55" s="58" t="s">
        <v>34</v>
      </c>
      <c r="Z55" s="63">
        <f>W55</f>
        <v>2</v>
      </c>
    </row>
    <row r="56" spans="1:26" ht="15.95" customHeight="1">
      <c r="A56" s="91">
        <f>A48+60</f>
        <v>46177</v>
      </c>
      <c r="B56" s="75"/>
      <c r="C56" s="90" t="s">
        <v>70</v>
      </c>
      <c r="D56" s="98"/>
      <c r="F56" s="64"/>
      <c r="G56" s="345" t="s">
        <v>64</v>
      </c>
      <c r="I56" s="75"/>
      <c r="L56" s="75"/>
      <c r="O56" s="75"/>
      <c r="R56" s="75"/>
      <c r="U56" s="75"/>
      <c r="X56" s="75"/>
    </row>
    <row r="57" spans="1:26" ht="15.95" customHeight="1">
      <c r="A57" s="91">
        <f>DATE(F$5,8,15)</f>
        <v>46249</v>
      </c>
      <c r="B57" s="75"/>
      <c r="C57" s="90" t="s">
        <v>71</v>
      </c>
      <c r="D57" s="98"/>
      <c r="F57" s="64"/>
      <c r="G57" s="345" t="s">
        <v>179</v>
      </c>
      <c r="I57" s="75"/>
      <c r="L57" s="75"/>
      <c r="O57" s="75"/>
      <c r="R57" s="75"/>
      <c r="U57" s="75"/>
      <c r="X57" s="75"/>
    </row>
    <row r="58" spans="1:26" ht="15.95" customHeight="1">
      <c r="A58" s="91">
        <f>DATE(F$5,10,26)</f>
        <v>46321</v>
      </c>
      <c r="B58" s="75"/>
      <c r="C58" s="90" t="s">
        <v>72</v>
      </c>
      <c r="D58" s="98"/>
      <c r="F58" s="64"/>
      <c r="G58" s="345" t="s">
        <v>180</v>
      </c>
      <c r="I58" s="75"/>
      <c r="L58" s="75"/>
      <c r="O58" s="75"/>
      <c r="R58" s="75"/>
      <c r="U58" s="75"/>
      <c r="X58" s="75"/>
    </row>
    <row r="59" spans="1:26" ht="15.95" customHeight="1" thickBot="1">
      <c r="A59" s="91">
        <f>DATE(F$5,11,1)</f>
        <v>46327</v>
      </c>
      <c r="B59" s="75"/>
      <c r="C59" s="90" t="s">
        <v>73</v>
      </c>
      <c r="D59" s="98"/>
      <c r="F59" s="64"/>
      <c r="G59" s="345" t="s">
        <v>181</v>
      </c>
      <c r="I59" s="75"/>
      <c r="L59" s="75"/>
      <c r="O59" s="75"/>
      <c r="R59" s="75"/>
      <c r="U59" s="75"/>
      <c r="X59" s="75"/>
    </row>
    <row r="60" spans="1:26" ht="15.95" customHeight="1" thickBot="1">
      <c r="A60" s="95">
        <f>IF(D60=1,A59+1,"nicht frei")</f>
        <v>46328</v>
      </c>
      <c r="B60" s="96"/>
      <c r="C60" s="97" t="s">
        <v>74</v>
      </c>
      <c r="D60" s="76">
        <v>1</v>
      </c>
      <c r="F60" s="64"/>
      <c r="G60" s="345"/>
      <c r="I60" s="75"/>
      <c r="L60" s="75"/>
      <c r="O60" s="75"/>
      <c r="R60" s="75"/>
      <c r="U60" s="75"/>
      <c r="X60" s="75"/>
    </row>
    <row r="61" spans="1:26" ht="15.95" customHeight="1">
      <c r="A61" s="91">
        <f>DATE(F$5,12,8)</f>
        <v>46364</v>
      </c>
      <c r="B61" s="75"/>
      <c r="C61" s="90" t="s">
        <v>75</v>
      </c>
      <c r="D61" s="98"/>
      <c r="F61" s="64"/>
      <c r="G61" s="345"/>
      <c r="I61" s="81"/>
      <c r="L61" s="2"/>
      <c r="O61" s="2"/>
      <c r="R61" s="2"/>
      <c r="U61" s="2"/>
      <c r="X61" s="2"/>
    </row>
    <row r="62" spans="1:26">
      <c r="A62" s="95">
        <f>IF(D62=1,A61+16,"nicht frei")</f>
        <v>46380</v>
      </c>
      <c r="B62" s="96"/>
      <c r="C62" s="97" t="s">
        <v>76</v>
      </c>
      <c r="D62" s="76">
        <v>1</v>
      </c>
      <c r="F62" s="64"/>
      <c r="G62" s="345"/>
    </row>
    <row r="63" spans="1:26">
      <c r="A63" s="91">
        <f>DATE(F$5,12,25)</f>
        <v>46381</v>
      </c>
      <c r="B63" s="75"/>
      <c r="C63" s="90" t="s">
        <v>77</v>
      </c>
      <c r="D63" s="98"/>
      <c r="F63" s="64"/>
      <c r="G63" s="345"/>
    </row>
    <row r="64" spans="1:26">
      <c r="A64" s="91">
        <f>DATE(F$5,12,26)</f>
        <v>46382</v>
      </c>
      <c r="B64" s="75"/>
      <c r="C64" s="90" t="s">
        <v>78</v>
      </c>
      <c r="D64" s="98"/>
      <c r="F64" s="64"/>
      <c r="G64" s="345"/>
    </row>
    <row r="65" spans="1:8">
      <c r="A65" s="95">
        <f>IF(D65=1,A61+23,"nicht frei")</f>
        <v>46387</v>
      </c>
      <c r="B65" s="106"/>
      <c r="C65" s="97" t="s">
        <v>79</v>
      </c>
      <c r="D65" s="76">
        <v>1</v>
      </c>
      <c r="F65" s="64"/>
      <c r="G65" s="345"/>
    </row>
    <row r="66" spans="1:8">
      <c r="F66" s="2"/>
      <c r="G66" s="2"/>
    </row>
    <row r="70" spans="1:8" ht="15">
      <c r="A70" s="368"/>
      <c r="B70" s="368"/>
      <c r="C70" s="368"/>
      <c r="D70" s="368"/>
      <c r="E70" s="369"/>
      <c r="F70" s="369"/>
    </row>
    <row r="71" spans="1:8" ht="13.5">
      <c r="A71" s="356"/>
      <c r="B71" s="357"/>
      <c r="C71" s="358"/>
      <c r="F71" s="370">
        <f>MOD($F$5,19)</f>
        <v>12</v>
      </c>
      <c r="G71" s="371" t="s">
        <v>12</v>
      </c>
      <c r="H71" s="372"/>
    </row>
    <row r="72" spans="1:8" ht="13.5">
      <c r="A72" s="356"/>
      <c r="B72" s="357"/>
      <c r="C72" s="358"/>
      <c r="F72" s="370">
        <f>MOD($F$5,4)</f>
        <v>2</v>
      </c>
      <c r="G72" s="371" t="s">
        <v>15</v>
      </c>
      <c r="H72" s="372"/>
    </row>
    <row r="73" spans="1:8" ht="13.5">
      <c r="A73" s="356"/>
      <c r="B73" s="359"/>
      <c r="C73" s="358"/>
      <c r="F73" s="370">
        <f>MOD($F$5,7)</f>
        <v>3</v>
      </c>
      <c r="G73" s="371" t="s">
        <v>18</v>
      </c>
      <c r="H73" s="372"/>
    </row>
    <row r="74" spans="1:8" ht="13.5">
      <c r="A74" s="356"/>
      <c r="B74" s="359"/>
      <c r="C74" s="358"/>
      <c r="F74" s="373">
        <f>MOD(19*F71+24,30)</f>
        <v>12</v>
      </c>
      <c r="G74" s="371" t="s">
        <v>20</v>
      </c>
      <c r="H74" s="372"/>
    </row>
    <row r="75" spans="1:8" ht="13.5">
      <c r="A75" s="361"/>
      <c r="B75" s="362"/>
      <c r="C75" s="363"/>
      <c r="D75" s="364"/>
      <c r="E75" s="365"/>
      <c r="F75" s="373">
        <f>MOD(2*F72+4*F73+6*F74+5,7)</f>
        <v>2</v>
      </c>
      <c r="G75" s="371" t="s">
        <v>22</v>
      </c>
      <c r="H75" s="372"/>
    </row>
    <row r="76" spans="1:8" ht="13.5">
      <c r="A76" s="356"/>
      <c r="B76" s="357"/>
      <c r="C76" s="366"/>
      <c r="F76" s="373">
        <f>22+F74+F75</f>
        <v>36</v>
      </c>
      <c r="G76" s="371" t="s">
        <v>24</v>
      </c>
      <c r="H76" s="372"/>
    </row>
    <row r="77" spans="1:8" ht="13.5">
      <c r="A77" s="356"/>
      <c r="B77" s="357"/>
      <c r="C77" s="358"/>
      <c r="F77" s="373">
        <v>3</v>
      </c>
      <c r="G77" s="371" t="s">
        <v>192</v>
      </c>
      <c r="H77" s="372"/>
    </row>
    <row r="78" spans="1:8" ht="13.5">
      <c r="A78" s="356"/>
      <c r="B78" s="357"/>
      <c r="C78" s="367"/>
      <c r="F78" s="373"/>
      <c r="G78" s="371" t="s">
        <v>26</v>
      </c>
      <c r="H78" s="372"/>
    </row>
    <row r="79" spans="1:8" ht="13.5">
      <c r="A79" s="356"/>
      <c r="B79" s="357"/>
      <c r="C79" s="358"/>
      <c r="F79" s="373">
        <f>IF($F76&gt;31,($F74+$F75-9),$F76)</f>
        <v>5</v>
      </c>
      <c r="G79" s="371" t="s">
        <v>29</v>
      </c>
      <c r="H79" s="372"/>
    </row>
    <row r="80" spans="1:8" ht="13.5">
      <c r="A80" s="356"/>
      <c r="B80" s="357"/>
      <c r="C80" s="358"/>
      <c r="F80" s="373">
        <f>IF(F76&gt;31,4,F77)</f>
        <v>4</v>
      </c>
      <c r="G80" s="371" t="s">
        <v>32</v>
      </c>
      <c r="H80" s="372"/>
    </row>
    <row r="81" spans="1:8" ht="13.5">
      <c r="A81" s="356"/>
      <c r="B81" s="357"/>
      <c r="C81" s="358"/>
      <c r="F81" s="373"/>
      <c r="G81" s="371" t="s">
        <v>35</v>
      </c>
      <c r="H81" s="372"/>
    </row>
    <row r="82" spans="1:8" ht="13.5">
      <c r="A82" s="356"/>
      <c r="B82" s="357"/>
      <c r="C82" s="358"/>
      <c r="F82" s="373"/>
      <c r="G82" s="371" t="s">
        <v>37</v>
      </c>
      <c r="H82" s="372"/>
    </row>
    <row r="83" spans="1:8" ht="13.5">
      <c r="A83" s="356"/>
      <c r="B83" s="357"/>
      <c r="C83" s="358"/>
      <c r="F83" s="373">
        <f>IF(AND(F79=26,F80=4),19,F79)</f>
        <v>5</v>
      </c>
      <c r="G83" s="371" t="s">
        <v>39</v>
      </c>
      <c r="H83" s="372"/>
    </row>
    <row r="84" spans="1:8" ht="13.5">
      <c r="A84" s="356"/>
      <c r="B84" s="357"/>
      <c r="C84" s="358"/>
      <c r="F84" s="373"/>
      <c r="G84" s="371" t="s">
        <v>35</v>
      </c>
      <c r="H84" s="372"/>
    </row>
    <row r="85" spans="1:8" ht="13.5">
      <c r="A85" s="356"/>
      <c r="B85" s="357"/>
      <c r="C85" s="358"/>
      <c r="F85" s="373"/>
      <c r="G85" s="371" t="s">
        <v>46</v>
      </c>
      <c r="H85" s="372"/>
    </row>
    <row r="86" spans="1:8" ht="13.5">
      <c r="A86" s="356"/>
      <c r="B86" s="357"/>
      <c r="C86" s="358"/>
      <c r="F86" s="373">
        <f>IF(AND(F83=25,F80=4,F74=28,F75=6,F71&gt;10),18,F83)</f>
        <v>5</v>
      </c>
      <c r="G86" s="371" t="s">
        <v>48</v>
      </c>
      <c r="H86" s="372"/>
    </row>
    <row r="87" spans="1:8" ht="13.5">
      <c r="A87" s="356"/>
      <c r="B87" s="357"/>
      <c r="C87" s="358"/>
      <c r="F87" s="373"/>
      <c r="G87" s="371" t="s">
        <v>35</v>
      </c>
      <c r="H87" s="372"/>
    </row>
    <row r="88" spans="1:8">
      <c r="A88" s="356"/>
      <c r="B88" s="357"/>
      <c r="C88" s="358"/>
      <c r="F88" s="373"/>
      <c r="G88" s="373" t="s">
        <v>51</v>
      </c>
      <c r="H88" s="372"/>
    </row>
    <row r="89" spans="1:8">
      <c r="A89" s="356"/>
      <c r="B89" s="357"/>
      <c r="C89" s="358"/>
      <c r="F89" s="373"/>
      <c r="G89" s="373" t="s">
        <v>193</v>
      </c>
      <c r="H89" s="372"/>
    </row>
    <row r="90" spans="1:8">
      <c r="A90" s="356"/>
      <c r="B90" s="360"/>
      <c r="C90" s="358"/>
      <c r="F90" s="373"/>
      <c r="G90" s="373" t="s">
        <v>194</v>
      </c>
      <c r="H90" s="372"/>
    </row>
    <row r="91" spans="1:8">
      <c r="F91" s="372"/>
      <c r="G91" s="372"/>
      <c r="H91" s="372"/>
    </row>
  </sheetData>
  <sheetProtection sheet="1" selectLockedCells="1"/>
  <mergeCells count="5">
    <mergeCell ref="A13:C13"/>
    <mergeCell ref="A7:C7"/>
    <mergeCell ref="D7:H7"/>
    <mergeCell ref="D8:H8"/>
    <mergeCell ref="A9:C9"/>
  </mergeCells>
  <phoneticPr fontId="2" type="noConversion"/>
  <pageMargins left="0.59027777777777779" right="0.59027777777777779" top="0.59027777777777779" bottom="0.5902777777777777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F39" sqref="F3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0.140625" style="94" hidden="1" customWidth="1"/>
    <col min="5" max="5" width="7.140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DATE(Datenblatt!F5,8,1)</f>
        <v>46235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"&amp;Datenblatt!$N$46&amp;";"&amp;"    Di: "&amp;Datenblatt!$N$47&amp;";"&amp;"    Mi: "&amp;Datenblatt!$N$48&amp;";"&amp;"    Do: "&amp;Datenblatt!$N$49&amp;";"&amp;"    Fr: "&amp;Datenblatt!$N$50&amp;";"&amp;"    Sa: "&amp;Datenblatt!$N$51&amp;";"&amp;"    So: "&amp;Datenblatt!$N$52&amp;""&amp;"     -    Wochenarbeitszeit:  "&amp;Datenblatt!$N$53&amp;"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Juli!T5+Datenblatt!N54</f>
        <v>190</v>
      </c>
      <c r="U4" s="405"/>
      <c r="V4" s="141"/>
      <c r="W4" s="142" t="str">
        <f>"Urlaubsanspruch per 01.08."&amp;Datenblatt!$F$5</f>
        <v>Urlaubsanspruch per 01.08.2026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"&amp;IF(Datenblatt!N55=1,Datenblatt!D34,IF(Datenblatt!N55=2,Datenblatt!D35,IF(Datenblatt!N55=3,Datenblatt!D36,IF(Datenblatt!N55=4,Datenblatt!D37))))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190</v>
      </c>
      <c r="U5" s="405"/>
      <c r="V5" s="141"/>
      <c r="W5" s="143" t="str">
        <f>"Resturlaub per 31.08."&amp;Datenblatt!$F$5</f>
        <v>Resturlaub per 31.08.2026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46235</v>
      </c>
      <c r="C9" s="157">
        <f t="shared" ref="C9:C39" si="0">B9</f>
        <v>46235</v>
      </c>
      <c r="D9" s="350">
        <f>IF(VLOOKUP($B9,Datenblatt!$A$43:$A$65,1,1)=$B9,0,VLOOKUP(WEEKDAY($B9),Datenblatt!$L$46:$N$52,3,FALSE))</f>
        <v>0</v>
      </c>
      <c r="E9" s="350">
        <f>IF(VLOOKUP($B9,Datenblatt!$A$43:$A$65,1,1)=$B9,0,IF(WEEKDAY($B9)=7,1,IF(WEEKDAY($B9)=1,0,2)))</f>
        <v>1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9" si="4">B9+1</f>
        <v>46236</v>
      </c>
      <c r="C10" s="157">
        <f t="shared" si="0"/>
        <v>46236</v>
      </c>
      <c r="D10" s="351">
        <f>IF(VLOOKUP($B10,Datenblatt!$A$43:$A$65,1,1)=$B10,0,VLOOKUP(WEEKDAY($B10),Datenblatt!$L$46:$N$52,3,FALSE))</f>
        <v>0</v>
      </c>
      <c r="E10" s="351">
        <f>IF(VLOOKUP($B10,Datenblatt!$A$43:$A$65,1,1)=$B10,0,IF(WEEKDAY($B10)=7,1,IF(WEEKDAY($B10)=1,0,2)))</f>
        <v>0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46237</v>
      </c>
      <c r="C11" s="157">
        <f t="shared" si="0"/>
        <v>46237</v>
      </c>
      <c r="D11" s="352">
        <f>IF(VLOOKUP($B11,Datenblatt!$A$43:$A$65,1,1)=$B11,0,VLOOKUP(WEEKDAY($B11),Datenblatt!$L$46:$N$52,3,FALSE))</f>
        <v>8</v>
      </c>
      <c r="E11" s="352">
        <f>IF(VLOOKUP($B11,Datenblatt!$A$43:$A$65,1,1)=$B11,0,IF(WEEKDAY($B11)=7,1,IF(WEEKDAY($B11)=1,0,2)))</f>
        <v>2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46238</v>
      </c>
      <c r="C12" s="157">
        <f t="shared" si="0"/>
        <v>46238</v>
      </c>
      <c r="D12" s="352">
        <f>IF(VLOOKUP($B12,Datenblatt!$A$43:$A$65,1,1)=$B12,0,VLOOKUP(WEEKDAY($B12),Datenblatt!$L$46:$N$52,3,FALSE))</f>
        <v>8</v>
      </c>
      <c r="E12" s="352">
        <f>IF(VLOOKUP($B12,Datenblatt!$A$43:$A$65,1,1)=$B12,0,IF(WEEKDAY($B12)=7,1,IF(WEEKDAY($B12)=1,0,2)))</f>
        <v>2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46239</v>
      </c>
      <c r="C13" s="157">
        <f t="shared" si="0"/>
        <v>46239</v>
      </c>
      <c r="D13" s="352">
        <f>IF(VLOOKUP($B13,Datenblatt!$A$43:$A$65,1,1)=$B13,0,VLOOKUP(WEEKDAY($B13),Datenblatt!$L$46:$N$52,3,FALSE))</f>
        <v>8</v>
      </c>
      <c r="E13" s="352">
        <f>IF(VLOOKUP($B13,Datenblatt!$A$43:$A$65,1,1)=$B13,0,IF(WEEKDAY($B13)=7,1,IF(WEEKDAY($B13)=1,0,2)))</f>
        <v>2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46240</v>
      </c>
      <c r="C14" s="157">
        <f t="shared" si="0"/>
        <v>46240</v>
      </c>
      <c r="D14" s="352">
        <f>IF(VLOOKUP($B14,Datenblatt!$A$43:$A$65,1,1)=$B14,0,VLOOKUP(WEEKDAY($B14),Datenblatt!$L$46:$N$52,3,FALSE))</f>
        <v>8</v>
      </c>
      <c r="E14" s="352">
        <f>IF(VLOOKUP($B14,Datenblatt!$A$43:$A$65,1,1)=$B14,0,IF(WEEKDAY($B14)=7,1,IF(WEEKDAY($B14)=1,0,2)))</f>
        <v>2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46241</v>
      </c>
      <c r="C15" s="157">
        <f t="shared" si="0"/>
        <v>46241</v>
      </c>
      <c r="D15" s="352">
        <f>IF(VLOOKUP($B15,Datenblatt!$A$43:$A$65,1,1)=$B15,0,VLOOKUP(WEEKDAY($B15),Datenblatt!$L$46:$N$52,3,FALSE))</f>
        <v>6</v>
      </c>
      <c r="E15" s="352">
        <f>IF(VLOOKUP($B15,Datenblatt!$A$43:$A$65,1,1)=$B15,0,IF(WEEKDAY($B15)=7,1,IF(WEEKDAY($B15)=1,0,2)))</f>
        <v>2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46242</v>
      </c>
      <c r="C16" s="157">
        <f t="shared" si="0"/>
        <v>46242</v>
      </c>
      <c r="D16" s="352">
        <f>IF(VLOOKUP($B16,Datenblatt!$A$43:$A$65,1,1)=$B16,0,VLOOKUP(WEEKDAY($B16),Datenblatt!$L$46:$N$52,3,FALSE))</f>
        <v>0</v>
      </c>
      <c r="E16" s="352">
        <f>IF(VLOOKUP($B16,Datenblatt!$A$43:$A$65,1,1)=$B16,0,IF(WEEKDAY($B16)=7,1,IF(WEEKDAY($B16)=1,0,2)))</f>
        <v>1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46243</v>
      </c>
      <c r="C17" s="157">
        <f t="shared" si="0"/>
        <v>46243</v>
      </c>
      <c r="D17" s="352">
        <f>IF(VLOOKUP($B17,Datenblatt!$A$43:$A$65,1,1)=$B17,0,VLOOKUP(WEEKDAY($B17),Datenblatt!$L$46:$N$52,3,FALSE))</f>
        <v>0</v>
      </c>
      <c r="E17" s="352">
        <f>IF(VLOOKUP($B17,Datenblatt!$A$43:$A$65,1,1)=$B17,0,IF(WEEKDAY($B17)=7,1,IF(WEEKDAY($B17)=1,0,2)))</f>
        <v>0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46244</v>
      </c>
      <c r="C18" s="157">
        <f t="shared" si="0"/>
        <v>46244</v>
      </c>
      <c r="D18" s="352">
        <f>IF(VLOOKUP($B18,Datenblatt!$A$43:$A$65,1,1)=$B18,0,VLOOKUP(WEEKDAY($B18),Datenblatt!$L$46:$N$52,3,FALSE))</f>
        <v>8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46245</v>
      </c>
      <c r="C19" s="157">
        <f t="shared" si="0"/>
        <v>46245</v>
      </c>
      <c r="D19" s="352">
        <f>IF(VLOOKUP($B19,Datenblatt!$A$43:$A$65,1,1)=$B19,0,VLOOKUP(WEEKDAY($B19),Datenblatt!$L$46:$N$52,3,FALSE))</f>
        <v>8</v>
      </c>
      <c r="E19" s="352">
        <f>IF(VLOOKUP($B19,Datenblatt!$A$43:$A$65,1,1)=$B19,0,IF(WEEKDAY($B19)=7,1,IF(WEEKDAY($B19)=1,0,2)))</f>
        <v>2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46246</v>
      </c>
      <c r="C20" s="157">
        <f t="shared" si="0"/>
        <v>46246</v>
      </c>
      <c r="D20" s="352">
        <f>IF(VLOOKUP($B20,Datenblatt!$A$43:$A$65,1,1)=$B20,0,VLOOKUP(WEEKDAY($B20),Datenblatt!$L$46:$N$52,3,FALSE))</f>
        <v>8</v>
      </c>
      <c r="E20" s="352">
        <f>IF(VLOOKUP($B20,Datenblatt!$A$43:$A$65,1,1)=$B20,0,IF(WEEKDAY($B20)=7,1,IF(WEEKDAY($B20)=1,0,2)))</f>
        <v>2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46247</v>
      </c>
      <c r="C21" s="157">
        <f t="shared" si="0"/>
        <v>46247</v>
      </c>
      <c r="D21" s="352">
        <f>IF(VLOOKUP($B21,Datenblatt!$A$43:$A$65,1,1)=$B21,0,VLOOKUP(WEEKDAY($B21),Datenblatt!$L$46:$N$52,3,FALSE))</f>
        <v>8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46248</v>
      </c>
      <c r="C22" s="157">
        <f t="shared" si="0"/>
        <v>46248</v>
      </c>
      <c r="D22" s="352">
        <f>IF(VLOOKUP($B22,Datenblatt!$A$43:$A$65,1,1)=$B22,0,VLOOKUP(WEEKDAY($B22),Datenblatt!$L$46:$N$52,3,FALSE))</f>
        <v>6</v>
      </c>
      <c r="E22" s="352">
        <f>IF(VLOOKUP($B22,Datenblatt!$A$43:$A$65,1,1)=$B22,0,IF(WEEKDAY($B22)=7,1,IF(WEEKDAY($B22)=1,0,2)))</f>
        <v>2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46249</v>
      </c>
      <c r="C23" s="157">
        <f t="shared" si="0"/>
        <v>46249</v>
      </c>
      <c r="D23" s="352">
        <f>IF(VLOOKUP($B23,Datenblatt!$A$43:$A$65,1,1)=$B23,0,VLOOKUP(WEEKDAY($B23),Datenblatt!$L$46:$N$52,3,FALSE))</f>
        <v>0</v>
      </c>
      <c r="E23" s="352">
        <f>IF(VLOOKUP($B23,Datenblatt!$A$43:$A$65,1,1)=$B23,0,IF(WEEKDAY($B23)=7,1,IF(WEEKDAY($B23)=1,0,2)))</f>
        <v>0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>Maria Himmelfahrt</v>
      </c>
      <c r="W23" s="413"/>
      <c r="X23" s="414"/>
      <c r="AA23" s="173"/>
    </row>
    <row r="24" spans="2:128" ht="12.2" customHeight="1">
      <c r="B24" s="156">
        <f t="shared" si="4"/>
        <v>46250</v>
      </c>
      <c r="C24" s="157">
        <f t="shared" si="0"/>
        <v>46250</v>
      </c>
      <c r="D24" s="352">
        <f>IF(VLOOKUP($B24,Datenblatt!$A$43:$A$65,1,1)=$B24,0,VLOOKUP(WEEKDAY($B24),Datenblatt!$L$46:$N$52,3,FALSE))</f>
        <v>0</v>
      </c>
      <c r="E24" s="352">
        <f>IF(VLOOKUP($B24,Datenblatt!$A$43:$A$65,1,1)=$B24,0,IF(WEEKDAY($B24)=7,1,IF(WEEKDAY($B24)=1,0,2)))</f>
        <v>0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46251</v>
      </c>
      <c r="C25" s="157">
        <f t="shared" si="0"/>
        <v>46251</v>
      </c>
      <c r="D25" s="352">
        <f>IF(VLOOKUP($B25,Datenblatt!$A$43:$A$65,1,1)=$B25,0,VLOOKUP(WEEKDAY($B25),Datenblatt!$L$46:$N$52,3,FALSE))</f>
        <v>8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46252</v>
      </c>
      <c r="C26" s="157">
        <f t="shared" si="0"/>
        <v>46252</v>
      </c>
      <c r="D26" s="352">
        <f>IF(VLOOKUP($B26,Datenblatt!$A$43:$A$65,1,1)=$B26,0,VLOOKUP(WEEKDAY($B26),Datenblatt!$L$46:$N$52,3,FALSE))</f>
        <v>8</v>
      </c>
      <c r="E26" s="352">
        <f>IF(VLOOKUP($B26,Datenblatt!$A$43:$A$65,1,1)=$B26,0,IF(WEEKDAY($B26)=7,1,IF(WEEKDAY($B26)=1,0,2)))</f>
        <v>2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46253</v>
      </c>
      <c r="C27" s="157">
        <f t="shared" si="0"/>
        <v>46253</v>
      </c>
      <c r="D27" s="352">
        <f>IF(VLOOKUP($B27,Datenblatt!$A$43:$A$65,1,1)=$B27,0,VLOOKUP(WEEKDAY($B27),Datenblatt!$L$46:$N$52,3,FALSE))</f>
        <v>8</v>
      </c>
      <c r="E27" s="352">
        <f>IF(VLOOKUP($B27,Datenblatt!$A$43:$A$65,1,1)=$B27,0,IF(WEEKDAY($B27)=7,1,IF(WEEKDAY($B27)=1,0,2)))</f>
        <v>2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46254</v>
      </c>
      <c r="C28" s="157">
        <f t="shared" si="0"/>
        <v>46254</v>
      </c>
      <c r="D28" s="352">
        <f>IF(VLOOKUP($B28,Datenblatt!$A$43:$A$65,1,1)=$B28,0,VLOOKUP(WEEKDAY($B28),Datenblatt!$L$46:$N$52,3,FALSE))</f>
        <v>8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46255</v>
      </c>
      <c r="C29" s="157">
        <f t="shared" si="0"/>
        <v>46255</v>
      </c>
      <c r="D29" s="352">
        <f>IF(VLOOKUP($B29,Datenblatt!$A$43:$A$65,1,1)=$B29,0,VLOOKUP(WEEKDAY($B29),Datenblatt!$L$46:$N$52,3,FALSE))</f>
        <v>6</v>
      </c>
      <c r="E29" s="352">
        <f>IF(VLOOKUP($B29,Datenblatt!$A$43:$A$65,1,1)=$B29,0,IF(WEEKDAY($B29)=7,1,IF(WEEKDAY($B29)=1,0,2)))</f>
        <v>2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46256</v>
      </c>
      <c r="C30" s="157">
        <f t="shared" si="0"/>
        <v>46256</v>
      </c>
      <c r="D30" s="352">
        <f>IF(VLOOKUP($B30,Datenblatt!$A$43:$A$65,1,1)=$B30,0,VLOOKUP(WEEKDAY($B30),Datenblatt!$L$46:$N$52,3,FALSE))</f>
        <v>0</v>
      </c>
      <c r="E30" s="352">
        <f>IF(VLOOKUP($B30,Datenblatt!$A$43:$A$65,1,1)=$B30,0,IF(WEEKDAY($B30)=7,1,IF(WEEKDAY($B30)=1,0,2)))</f>
        <v>1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46257</v>
      </c>
      <c r="C31" s="157">
        <f t="shared" si="0"/>
        <v>46257</v>
      </c>
      <c r="D31" s="352">
        <f>IF(VLOOKUP($B31,Datenblatt!$A$43:$A$65,1,1)=$B31,0,VLOOKUP(WEEKDAY($B31),Datenblatt!$L$46:$N$52,3,FALSE))</f>
        <v>0</v>
      </c>
      <c r="E31" s="352">
        <f>IF(VLOOKUP($B31,Datenblatt!$A$43:$A$65,1,1)=$B31,0,IF(WEEKDAY($B31)=7,1,IF(WEEKDAY($B31)=1,0,2)))</f>
        <v>0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46258</v>
      </c>
      <c r="C32" s="157">
        <f t="shared" si="0"/>
        <v>46258</v>
      </c>
      <c r="D32" s="352">
        <f>IF(VLOOKUP($B32,Datenblatt!$A$43:$A$65,1,1)=$B32,0,VLOOKUP(WEEKDAY($B32),Datenblatt!$L$46:$N$52,3,FALSE))</f>
        <v>8</v>
      </c>
      <c r="E32" s="352">
        <f>IF(VLOOKUP($B32,Datenblatt!$A$43:$A$65,1,1)=$B32,0,IF(WEEKDAY($B32)=7,1,IF(WEEKDAY($B32)=1,0,2)))</f>
        <v>2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46259</v>
      </c>
      <c r="C33" s="157">
        <f t="shared" si="0"/>
        <v>46259</v>
      </c>
      <c r="D33" s="352">
        <f>IF(VLOOKUP($B33,Datenblatt!$A$43:$A$65,1,1)=$B33,0,VLOOKUP(WEEKDAY($B33),Datenblatt!$L$46:$N$52,3,FALSE))</f>
        <v>8</v>
      </c>
      <c r="E33" s="352">
        <f>IF(VLOOKUP($B33,Datenblatt!$A$43:$A$65,1,1)=$B33,0,IF(WEEKDAY($B33)=7,1,IF(WEEKDAY($B33)=1,0,2)))</f>
        <v>2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46260</v>
      </c>
      <c r="C34" s="157">
        <f t="shared" si="0"/>
        <v>46260</v>
      </c>
      <c r="D34" s="352">
        <f>IF(VLOOKUP($B34,Datenblatt!$A$43:$A$65,1,1)=$B34,0,VLOOKUP(WEEKDAY($B34),Datenblatt!$L$46:$N$52,3,FALSE))</f>
        <v>8</v>
      </c>
      <c r="E34" s="352">
        <f>IF(VLOOKUP($B34,Datenblatt!$A$43:$A$65,1,1)=$B34,0,IF(WEEKDAY($B34)=7,1,IF(WEEKDAY($B34)=1,0,2)))</f>
        <v>2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46261</v>
      </c>
      <c r="C35" s="157">
        <f t="shared" si="0"/>
        <v>46261</v>
      </c>
      <c r="D35" s="352">
        <f>IF(VLOOKUP($B35,Datenblatt!$A$43:$A$65,1,1)=$B35,0,VLOOKUP(WEEKDAY($B35),Datenblatt!$L$46:$N$52,3,FALSE))</f>
        <v>8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46262</v>
      </c>
      <c r="C36" s="157">
        <f t="shared" si="0"/>
        <v>46262</v>
      </c>
      <c r="D36" s="352">
        <f>IF(VLOOKUP($B36,Datenblatt!$A$43:$A$65,1,1)=$B36,0,VLOOKUP(WEEKDAY($B36),Datenblatt!$L$46:$N$52,3,FALSE))</f>
        <v>6</v>
      </c>
      <c r="E36" s="352">
        <f>IF(VLOOKUP($B36,Datenblatt!$A$43:$A$65,1,1)=$B36,0,IF(WEEKDAY($B36)=7,1,IF(WEEKDAY($B36)=1,0,2)))</f>
        <v>2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46263</v>
      </c>
      <c r="C37" s="157">
        <f t="shared" si="0"/>
        <v>46263</v>
      </c>
      <c r="D37" s="352">
        <f>IF(VLOOKUP($B37,Datenblatt!$A$43:$A$65,1,1)=$B37,0,VLOOKUP(WEEKDAY($B37),Datenblatt!$L$46:$N$52,3,FALSE))</f>
        <v>0</v>
      </c>
      <c r="E37" s="352">
        <f>IF(VLOOKUP($B37,Datenblatt!$A$43:$A$65,1,1)=$B37,0,IF(WEEKDAY($B37)=7,1,IF(WEEKDAY($B37)=1,0,2)))</f>
        <v>1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46264</v>
      </c>
      <c r="C38" s="157">
        <f t="shared" si="0"/>
        <v>46264</v>
      </c>
      <c r="D38" s="352">
        <f>IF(VLOOKUP($B38,Datenblatt!$A$43:$A$65,1,1)=$B38,0,VLOOKUP(WEEKDAY($B38),Datenblatt!$L$46:$N$52,3,FALSE))</f>
        <v>0</v>
      </c>
      <c r="E38" s="352">
        <f>IF(VLOOKUP($B38,Datenblatt!$A$43:$A$65,1,1)=$B38,0,IF(WEEKDAY($B38)=7,1,IF(WEEKDAY($B38)=1,0,2)))</f>
        <v>0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>
        <f t="shared" si="4"/>
        <v>46265</v>
      </c>
      <c r="C39" s="157">
        <f t="shared" si="0"/>
        <v>46265</v>
      </c>
      <c r="D39" s="352">
        <f>IF(VLOOKUP($B39,Datenblatt!$A$43:$A$65,1,1)=$B39,0,VLOOKUP(WEEKDAY($B39),Datenblatt!$L$46:$N$52,3,FALSE))</f>
        <v>8</v>
      </c>
      <c r="E39" s="352">
        <f>IF(VLOOKUP($B39,Datenblatt!$A$43:$A$65,1,1)=$B39,0,IF(WEEKDAY($B39)=7,1,IF(WEEKDAY($B39)=1,0,2)))</f>
        <v>2</v>
      </c>
      <c r="F39" s="353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1"/>
        <v/>
      </c>
      <c r="S39" s="168" t="str">
        <f t="shared" si="2"/>
        <v/>
      </c>
      <c r="T39" s="169" t="str">
        <f t="shared" si="3"/>
        <v/>
      </c>
      <c r="U39" s="170"/>
      <c r="V39" s="415" t="str">
        <f>IF(VLOOKUP($B39,Datenblatt!$A$43:$A$66,1,1)=$B39,VLOOKUP($B39,Datenblatt!$A$43:$C$66,3,FALSE)," ")</f>
        <v xml:space="preserve"> </v>
      </c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August "&amp;Datenblatt!$F$5&amp;":"</f>
        <v>Sollstunden für August 2026:</v>
      </c>
      <c r="N41" s="66"/>
      <c r="O41" s="66"/>
      <c r="P41" s="186"/>
      <c r="R41" s="187"/>
      <c r="S41" s="403">
        <f>SUM(D9:D39)</f>
        <v>160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August "&amp;Datenblatt!F5&amp;":   ","Zeitdefizit im Monat August "&amp;Datenblatt!F5&amp;":   ")</f>
        <v xml:space="preserve">Zeitdefizit im Monat August 2026:   </v>
      </c>
      <c r="N42" s="189"/>
      <c r="O42" s="189"/>
      <c r="R42" s="190"/>
      <c r="S42" s="397">
        <f>T40-SUM(D9:D39)</f>
        <v>-160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Juli "&amp;Datenblatt!F5&amp;":   ","  - Zeitdefizit aus Juli "&amp;Datenblatt!F5&amp;":   ")</f>
        <v xml:space="preserve">  - Zeitdefizit aus Juli 2026:   </v>
      </c>
      <c r="S43" s="398">
        <f>Juli!S44</f>
        <v>-1094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September "&amp;Datenblatt!F5</f>
        <v>Übertrag für September 2026</v>
      </c>
      <c r="R44" s="195"/>
      <c r="S44" s="399">
        <f>S43+S42-I42</f>
        <v>-1254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578" priority="1" stopIfTrue="1" operator="equal">
      <formula>MATCH($E15,0)</formula>
    </cfRule>
    <cfRule type="expression" dxfId="1577" priority="2" stopIfTrue="1">
      <formula>"WOCHENTAG($B8)=1"</formula>
    </cfRule>
    <cfRule type="expression" dxfId="1576" priority="3" stopIfTrue="1">
      <formula>"WOCHENTAG($B8)=7"</formula>
    </cfRule>
  </conditionalFormatting>
  <conditionalFormatting sqref="B9:C9">
    <cfRule type="expression" dxfId="1575" priority="68" stopIfTrue="1">
      <formula>($E$9=1)</formula>
    </cfRule>
  </conditionalFormatting>
  <conditionalFormatting sqref="B10:C10">
    <cfRule type="expression" dxfId="1574" priority="71" stopIfTrue="1">
      <formula>($E$10=1)</formula>
    </cfRule>
  </conditionalFormatting>
  <conditionalFormatting sqref="B11:C11">
    <cfRule type="expression" dxfId="1573" priority="74" stopIfTrue="1">
      <formula>($E$11=1)</formula>
    </cfRule>
  </conditionalFormatting>
  <conditionalFormatting sqref="B12:C12">
    <cfRule type="expression" dxfId="1572" priority="77" stopIfTrue="1">
      <formula>($E$12=1)</formula>
    </cfRule>
  </conditionalFormatting>
  <conditionalFormatting sqref="B13:C13">
    <cfRule type="expression" dxfId="1571" priority="80" stopIfTrue="1">
      <formula>($E$13=1)</formula>
    </cfRule>
  </conditionalFormatting>
  <conditionalFormatting sqref="B14:C14">
    <cfRule type="expression" dxfId="1570" priority="83" stopIfTrue="1">
      <formula>($E$14=1)</formula>
    </cfRule>
  </conditionalFormatting>
  <conditionalFormatting sqref="B15:C15">
    <cfRule type="expression" dxfId="1569" priority="86" stopIfTrue="1">
      <formula>($E$15=1)</formula>
    </cfRule>
  </conditionalFormatting>
  <conditionalFormatting sqref="B16:C16">
    <cfRule type="expression" dxfId="1568" priority="89" stopIfTrue="1">
      <formula>($E$16=1)</formula>
    </cfRule>
  </conditionalFormatting>
  <conditionalFormatting sqref="B17:C17">
    <cfRule type="expression" dxfId="1567" priority="92" stopIfTrue="1">
      <formula>($E$17=1)</formula>
    </cfRule>
  </conditionalFormatting>
  <conditionalFormatting sqref="B18:C18">
    <cfRule type="expression" dxfId="1566" priority="95" stopIfTrue="1">
      <formula>($E$18=1)</formula>
    </cfRule>
  </conditionalFormatting>
  <conditionalFormatting sqref="B19:C19">
    <cfRule type="expression" dxfId="1565" priority="98" stopIfTrue="1">
      <formula>($E$19=1)</formula>
    </cfRule>
  </conditionalFormatting>
  <conditionalFormatting sqref="B20:C20">
    <cfRule type="expression" dxfId="1564" priority="101" stopIfTrue="1">
      <formula>($E$20=1)</formula>
    </cfRule>
  </conditionalFormatting>
  <conditionalFormatting sqref="B21:C21">
    <cfRule type="expression" dxfId="1563" priority="104" stopIfTrue="1">
      <formula>($E$21=1)</formula>
    </cfRule>
  </conditionalFormatting>
  <conditionalFormatting sqref="B22:C22">
    <cfRule type="expression" dxfId="1562" priority="107" stopIfTrue="1">
      <formula>($E$22=1)</formula>
    </cfRule>
  </conditionalFormatting>
  <conditionalFormatting sqref="B23:C23">
    <cfRule type="expression" dxfId="1561" priority="110" stopIfTrue="1">
      <formula>($E$23=1)</formula>
    </cfRule>
  </conditionalFormatting>
  <conditionalFormatting sqref="B24:C24">
    <cfRule type="expression" dxfId="1560" priority="113" stopIfTrue="1">
      <formula>($E$24=1)</formula>
    </cfRule>
  </conditionalFormatting>
  <conditionalFormatting sqref="B25:C25">
    <cfRule type="expression" dxfId="1559" priority="116" stopIfTrue="1">
      <formula>($E$25=1)</formula>
    </cfRule>
  </conditionalFormatting>
  <conditionalFormatting sqref="B26:C26">
    <cfRule type="expression" dxfId="1558" priority="119" stopIfTrue="1">
      <formula>($E$26=1)</formula>
    </cfRule>
  </conditionalFormatting>
  <conditionalFormatting sqref="B27:C27">
    <cfRule type="expression" dxfId="1557" priority="122" stopIfTrue="1">
      <formula>($E$27=1)</formula>
    </cfRule>
  </conditionalFormatting>
  <conditionalFormatting sqref="B28:C28">
    <cfRule type="expression" dxfId="1556" priority="125" stopIfTrue="1">
      <formula>($E$28=1)</formula>
    </cfRule>
  </conditionalFormatting>
  <conditionalFormatting sqref="B29:C29">
    <cfRule type="expression" dxfId="1555" priority="128" stopIfTrue="1">
      <formula>($E$29=1)</formula>
    </cfRule>
  </conditionalFormatting>
  <conditionalFormatting sqref="B30:C30">
    <cfRule type="expression" dxfId="1554" priority="131" stopIfTrue="1">
      <formula>($E$30=1)</formula>
    </cfRule>
  </conditionalFormatting>
  <conditionalFormatting sqref="B31:C31">
    <cfRule type="expression" dxfId="1553" priority="134" stopIfTrue="1">
      <formula>($E$31=1)</formula>
    </cfRule>
  </conditionalFormatting>
  <conditionalFormatting sqref="B32:C32">
    <cfRule type="expression" dxfId="1552" priority="137" stopIfTrue="1">
      <formula>($E$32=1)</formula>
    </cfRule>
  </conditionalFormatting>
  <conditionalFormatting sqref="B33:C33">
    <cfRule type="expression" dxfId="1551" priority="140" stopIfTrue="1">
      <formula>($E$33=1)</formula>
    </cfRule>
  </conditionalFormatting>
  <conditionalFormatting sqref="B34:C34">
    <cfRule type="expression" dxfId="1550" priority="143" stopIfTrue="1">
      <formula>($E$34=1)</formula>
    </cfRule>
  </conditionalFormatting>
  <conditionalFormatting sqref="B35:C35">
    <cfRule type="expression" dxfId="1549" priority="146" stopIfTrue="1">
      <formula>($E$35=1)</formula>
    </cfRule>
  </conditionalFormatting>
  <conditionalFormatting sqref="B36:C36">
    <cfRule type="expression" dxfId="1548" priority="149" stopIfTrue="1">
      <formula>($E$36=1)</formula>
    </cfRule>
  </conditionalFormatting>
  <conditionalFormatting sqref="B37:C37">
    <cfRule type="expression" dxfId="1547" priority="152" stopIfTrue="1">
      <formula>($E$37=1)</formula>
    </cfRule>
  </conditionalFormatting>
  <conditionalFormatting sqref="B38:C38">
    <cfRule type="expression" dxfId="1546" priority="155" stopIfTrue="1">
      <formula>($E$38=1)</formula>
    </cfRule>
  </conditionalFormatting>
  <conditionalFormatting sqref="B39:C39">
    <cfRule type="expression" dxfId="1545" priority="158" stopIfTrue="1">
      <formula>($E$39=1)</formula>
    </cfRule>
  </conditionalFormatting>
  <conditionalFormatting sqref="B9:T9 V9">
    <cfRule type="expression" dxfId="1544" priority="5" stopIfTrue="1">
      <formula>($D$9="Ersatzruhetag")</formula>
    </cfRule>
    <cfRule type="expression" dxfId="1543" priority="4" stopIfTrue="1">
      <formula>($E$9=0)</formula>
    </cfRule>
  </conditionalFormatting>
  <conditionalFormatting sqref="B10:T10 V10">
    <cfRule type="expression" dxfId="1542" priority="7" stopIfTrue="1">
      <formula>($D$10="Ersatzruhetag")</formula>
    </cfRule>
    <cfRule type="expression" dxfId="1541" priority="6" stopIfTrue="1">
      <formula>($E$10=0)</formula>
    </cfRule>
  </conditionalFormatting>
  <conditionalFormatting sqref="B11:T11 V11">
    <cfRule type="expression" dxfId="1540" priority="9" stopIfTrue="1">
      <formula>($D$11="Ersatzruhetag")</formula>
    </cfRule>
    <cfRule type="expression" dxfId="1539" priority="8" stopIfTrue="1">
      <formula>($E$11=0)</formula>
    </cfRule>
  </conditionalFormatting>
  <conditionalFormatting sqref="B12:T12 V12">
    <cfRule type="expression" dxfId="1538" priority="11" stopIfTrue="1">
      <formula>($D$12="Ersatzruhetag")</formula>
    </cfRule>
    <cfRule type="expression" dxfId="1537" priority="10" stopIfTrue="1">
      <formula>($E$12=0)</formula>
    </cfRule>
  </conditionalFormatting>
  <conditionalFormatting sqref="B13:T13 V13">
    <cfRule type="expression" dxfId="1536" priority="12" stopIfTrue="1">
      <formula>($E$13=0)</formula>
    </cfRule>
    <cfRule type="expression" dxfId="1535" priority="13" stopIfTrue="1">
      <formula>($D$13="Ersatzruhetag")</formula>
    </cfRule>
  </conditionalFormatting>
  <conditionalFormatting sqref="B14:T14 V14">
    <cfRule type="expression" dxfId="1534" priority="14" stopIfTrue="1">
      <formula>($E$14=0)</formula>
    </cfRule>
    <cfRule type="expression" dxfId="1533" priority="15" stopIfTrue="1">
      <formula>($D$14="Ersatzruhetag")</formula>
    </cfRule>
  </conditionalFormatting>
  <conditionalFormatting sqref="B15:T15 V15">
    <cfRule type="expression" dxfId="1532" priority="16" stopIfTrue="1">
      <formula>($E$15=0)</formula>
    </cfRule>
    <cfRule type="expression" dxfId="1531" priority="17" stopIfTrue="1">
      <formula>($D$15="Ersatzruhetag")</formula>
    </cfRule>
  </conditionalFormatting>
  <conditionalFormatting sqref="B16:T16 V16">
    <cfRule type="expression" dxfId="1530" priority="18" stopIfTrue="1">
      <formula>($E$16=0)</formula>
    </cfRule>
    <cfRule type="expression" dxfId="1529" priority="19" stopIfTrue="1">
      <formula>($D$16="Ersatzruhetag")</formula>
    </cfRule>
  </conditionalFormatting>
  <conditionalFormatting sqref="B17:T17 V17">
    <cfRule type="expression" dxfId="1528" priority="21" stopIfTrue="1">
      <formula>($D$17="Ersatzruhetag")</formula>
    </cfRule>
    <cfRule type="expression" dxfId="1527" priority="20" stopIfTrue="1">
      <formula>($E$17=0)</formula>
    </cfRule>
  </conditionalFormatting>
  <conditionalFormatting sqref="B18:T18 V18">
    <cfRule type="expression" dxfId="1526" priority="22" stopIfTrue="1">
      <formula>($E$18=0)</formula>
    </cfRule>
    <cfRule type="expression" dxfId="1525" priority="23" stopIfTrue="1">
      <formula>($D$18="Ersatzruhetag")</formula>
    </cfRule>
  </conditionalFormatting>
  <conditionalFormatting sqref="B19:T19 V19">
    <cfRule type="expression" dxfId="1524" priority="25" stopIfTrue="1">
      <formula>($D$19="Ersatzruhetag")</formula>
    </cfRule>
    <cfRule type="expression" dxfId="1523" priority="24" stopIfTrue="1">
      <formula>($E$19=0)</formula>
    </cfRule>
  </conditionalFormatting>
  <conditionalFormatting sqref="B20:T20 V20">
    <cfRule type="expression" dxfId="1522" priority="26" stopIfTrue="1">
      <formula>($E$20=0)</formula>
    </cfRule>
    <cfRule type="expression" dxfId="1521" priority="27" stopIfTrue="1">
      <formula>($D$20="Ersatzruhetag")</formula>
    </cfRule>
  </conditionalFormatting>
  <conditionalFormatting sqref="B21:T21 V21">
    <cfRule type="expression" dxfId="1520" priority="28" stopIfTrue="1">
      <formula>($E$21=0)</formula>
    </cfRule>
    <cfRule type="expression" dxfId="1519" priority="29" stopIfTrue="1">
      <formula>($D$21="Ersatzruhetag")</formula>
    </cfRule>
  </conditionalFormatting>
  <conditionalFormatting sqref="B22:T22 V22">
    <cfRule type="expression" dxfId="1518" priority="30" stopIfTrue="1">
      <formula>($E$22=0)</formula>
    </cfRule>
    <cfRule type="expression" dxfId="1517" priority="31" stopIfTrue="1">
      <formula>($D$22="Ersatzruhetag")</formula>
    </cfRule>
  </conditionalFormatting>
  <conditionalFormatting sqref="B23:T23 V23">
    <cfRule type="expression" dxfId="1516" priority="32" stopIfTrue="1">
      <formula>($E$23=0)</formula>
    </cfRule>
    <cfRule type="expression" dxfId="1515" priority="33" stopIfTrue="1">
      <formula>($D$23="Ersatzruhetag")</formula>
    </cfRule>
  </conditionalFormatting>
  <conditionalFormatting sqref="B24:T24 V24">
    <cfRule type="expression" dxfId="1514" priority="34" stopIfTrue="1">
      <formula>($E$24=0)</formula>
    </cfRule>
    <cfRule type="expression" dxfId="1513" priority="35" stopIfTrue="1">
      <formula>($D$24="Ersatzruhetag")</formula>
    </cfRule>
  </conditionalFormatting>
  <conditionalFormatting sqref="B25:T25 V25">
    <cfRule type="expression" dxfId="1512" priority="37" stopIfTrue="1">
      <formula>($D$25="Ersatzruhetag")</formula>
    </cfRule>
    <cfRule type="expression" dxfId="1511" priority="36" stopIfTrue="1">
      <formula>($E$25=0)</formula>
    </cfRule>
  </conditionalFormatting>
  <conditionalFormatting sqref="B26:T26 V26">
    <cfRule type="expression" dxfId="1510" priority="38" stopIfTrue="1">
      <formula>($E$26=0)</formula>
    </cfRule>
    <cfRule type="expression" dxfId="1509" priority="39" stopIfTrue="1">
      <formula>($D$26="Ersatzruhetag")</formula>
    </cfRule>
  </conditionalFormatting>
  <conditionalFormatting sqref="B27:T27 V27">
    <cfRule type="expression" dxfId="1508" priority="40" stopIfTrue="1">
      <formula>($E$27=0)</formula>
    </cfRule>
    <cfRule type="expression" dxfId="1507" priority="41" stopIfTrue="1">
      <formula>($D$27="Ersatzruhetag")</formula>
    </cfRule>
  </conditionalFormatting>
  <conditionalFormatting sqref="B28:T28 V28">
    <cfRule type="expression" dxfId="1506" priority="43" stopIfTrue="1">
      <formula>($D$28="Ersatzruhetag")</formula>
    </cfRule>
    <cfRule type="expression" dxfId="1505" priority="42" stopIfTrue="1">
      <formula>($E$28=0)</formula>
    </cfRule>
  </conditionalFormatting>
  <conditionalFormatting sqref="B29:T29 V29">
    <cfRule type="expression" dxfId="1504" priority="44" stopIfTrue="1">
      <formula>($E$29=0)</formula>
    </cfRule>
    <cfRule type="expression" dxfId="1503" priority="45" stopIfTrue="1">
      <formula>($D$29="Ersatzruhetag")</formula>
    </cfRule>
  </conditionalFormatting>
  <conditionalFormatting sqref="B30:T30 V30">
    <cfRule type="expression" dxfId="1502" priority="46" stopIfTrue="1">
      <formula>($E$30=0)</formula>
    </cfRule>
    <cfRule type="expression" dxfId="1501" priority="47" stopIfTrue="1">
      <formula>($D$30="Ersatzruhetag")</formula>
    </cfRule>
  </conditionalFormatting>
  <conditionalFormatting sqref="B31:T31 V31">
    <cfRule type="expression" dxfId="1500" priority="48" stopIfTrue="1">
      <formula>($E$31=0)</formula>
    </cfRule>
    <cfRule type="expression" dxfId="1499" priority="49" stopIfTrue="1">
      <formula>($D$31="Ersatzruhetag")</formula>
    </cfRule>
  </conditionalFormatting>
  <conditionalFormatting sqref="B32:T32 V32">
    <cfRule type="expression" dxfId="1498" priority="51" stopIfTrue="1">
      <formula>($D$32="Ersatzruhetag")</formula>
    </cfRule>
    <cfRule type="expression" dxfId="1497" priority="50" stopIfTrue="1">
      <formula>($E$32=0)</formula>
    </cfRule>
  </conditionalFormatting>
  <conditionalFormatting sqref="B33:T33 V33">
    <cfRule type="expression" dxfId="1496" priority="53" stopIfTrue="1">
      <formula>($D$33="Ersatzruhetag")</formula>
    </cfRule>
    <cfRule type="expression" dxfId="1495" priority="52" stopIfTrue="1">
      <formula>($E$33=0)</formula>
    </cfRule>
  </conditionalFormatting>
  <conditionalFormatting sqref="B34:T34 V34">
    <cfRule type="expression" dxfId="1494" priority="55" stopIfTrue="1">
      <formula>($D$34="Ersatzruhetag")</formula>
    </cfRule>
    <cfRule type="expression" dxfId="1493" priority="54" stopIfTrue="1">
      <formula>($E$34=0)</formula>
    </cfRule>
  </conditionalFormatting>
  <conditionalFormatting sqref="B35:T35 V35">
    <cfRule type="expression" dxfId="1492" priority="57" stopIfTrue="1">
      <formula>($D$35="Ersatzruhetag")</formula>
    </cfRule>
    <cfRule type="expression" dxfId="1491" priority="56" stopIfTrue="1">
      <formula>($E$35=0)</formula>
    </cfRule>
  </conditionalFormatting>
  <conditionalFormatting sqref="B36:T36 V36">
    <cfRule type="expression" dxfId="1490" priority="59" stopIfTrue="1">
      <formula>($D$36="Ersatzruhetag")</formula>
    </cfRule>
    <cfRule type="expression" dxfId="1489" priority="58" stopIfTrue="1">
      <formula>($E$36=0)</formula>
    </cfRule>
  </conditionalFormatting>
  <conditionalFormatting sqref="B37:T37 V37">
    <cfRule type="expression" dxfId="1488" priority="61" stopIfTrue="1">
      <formula>($D$37="Ersatzruhetag")</formula>
    </cfRule>
    <cfRule type="expression" dxfId="1487" priority="60" stopIfTrue="1">
      <formula>($E$37=0)</formula>
    </cfRule>
  </conditionalFormatting>
  <conditionalFormatting sqref="B38:T38 V38">
    <cfRule type="expression" dxfId="1486" priority="63" stopIfTrue="1">
      <formula>($D$38="Ersatzruhetag")</formula>
    </cfRule>
    <cfRule type="expression" dxfId="1485" priority="62" stopIfTrue="1">
      <formula>($E$38=0)</formula>
    </cfRule>
  </conditionalFormatting>
  <conditionalFormatting sqref="B39:T39 V39">
    <cfRule type="expression" dxfId="1484" priority="65" stopIfTrue="1">
      <formula>($D$39="Ersatzruhetag")</formula>
    </cfRule>
    <cfRule type="expression" dxfId="1483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9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X48"/>
  <sheetViews>
    <sheetView showGridLines="0" topLeftCell="B1" workbookViewId="0">
      <pane ySplit="8" topLeftCell="A9" activePane="bottomLeft" state="frozen"/>
      <selection activeCell="Z38" sqref="Z38"/>
      <selection pane="bottomLeft" activeCell="V39" sqref="V39:X3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2.85546875" style="94" customWidth="1"/>
    <col min="4" max="4" width="9.7109375" style="94" hidden="1" customWidth="1"/>
    <col min="5" max="5" width="0.140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DATE(Datenblatt!F5,9,1)</f>
        <v>46266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"&amp;Datenblatt!$Q$46&amp;";"&amp;"    Di: "&amp;Datenblatt!$Q$47&amp;";"&amp;"    Mi: "&amp;Datenblatt!$Q$48&amp;";"&amp;"    Do: "&amp;Datenblatt!$Q$49&amp;";"&amp;"    Fr: "&amp;Datenblatt!$Q$50&amp;";"&amp;"    Sa: "&amp;Datenblatt!$Q$51&amp;";"&amp;"    So: "&amp;Datenblatt!$Q$52&amp;""&amp;"     -    Wochenarbeitszeit:  "&amp;Datenblatt!$Q$53&amp;"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Aug!T5+Datenblatt!Q54</f>
        <v>190</v>
      </c>
      <c r="U4" s="405"/>
      <c r="V4" s="141"/>
      <c r="W4" s="142" t="str">
        <f>"Urlaubsanspruch per 01.09."&amp;Datenblatt!$F$5</f>
        <v>Urlaubsanspruch per 01.09.2026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"&amp;IF(Datenblatt!Q55=1,Datenblatt!D34,IF(Datenblatt!Q55=2,Datenblatt!D35,IF(Datenblatt!Q55=3,Datenblatt!D36,IF(Datenblatt!Q55=4,Datenblatt!D37))))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190</v>
      </c>
      <c r="U5" s="405"/>
      <c r="V5" s="141"/>
      <c r="W5" s="143" t="str">
        <f>"Resturlaub per 30.09."&amp;Datenblatt!$F$5</f>
        <v>Resturlaub per 30.09.2026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46266</v>
      </c>
      <c r="C9" s="157">
        <f t="shared" ref="C9:C38" si="0">B9</f>
        <v>46266</v>
      </c>
      <c r="D9" s="350">
        <f>IF(VLOOKUP($B9,Datenblatt!$A$43:$A$65,1,1)=$B9,0,VLOOKUP(WEEKDAY($B9),Datenblatt!$O$46:$Q$52,3,FALSE))</f>
        <v>8</v>
      </c>
      <c r="E9" s="350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8" si="4">B9+1</f>
        <v>46267</v>
      </c>
      <c r="C10" s="157">
        <f t="shared" si="0"/>
        <v>46267</v>
      </c>
      <c r="D10" s="351">
        <f>IF(VLOOKUP($B10,Datenblatt!$A$43:$A$65,1,1)=$B10,0,VLOOKUP(WEEKDAY($B10),Datenblatt!$O$46:$Q$52,3,FALSE))</f>
        <v>8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46268</v>
      </c>
      <c r="C11" s="157">
        <f t="shared" si="0"/>
        <v>46268</v>
      </c>
      <c r="D11" s="352">
        <f>IF(VLOOKUP($B11,Datenblatt!$A$43:$A$65,1,1)=$B11,0,VLOOKUP(WEEKDAY($B11),Datenblatt!$O$46:$Q$52,3,FALSE))</f>
        <v>8</v>
      </c>
      <c r="E11" s="352">
        <f>IF(VLOOKUP($B11,Datenblatt!$A$43:$A$65,1,1)=$B11,0,IF(WEEKDAY($B11)=7,1,IF(WEEKDAY($B11)=1,0,2)))</f>
        <v>2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46269</v>
      </c>
      <c r="C12" s="157">
        <f t="shared" si="0"/>
        <v>46269</v>
      </c>
      <c r="D12" s="352">
        <f>IF(VLOOKUP($B12,Datenblatt!$A$43:$A$65,1,1)=$B12,0,VLOOKUP(WEEKDAY($B12),Datenblatt!$O$46:$Q$52,3,FALSE))</f>
        <v>6</v>
      </c>
      <c r="E12" s="352">
        <f>IF(VLOOKUP($B12,Datenblatt!$A$43:$A$65,1,1)=$B12,0,IF(WEEKDAY($B12)=7,1,IF(WEEKDAY($B12)=1,0,2)))</f>
        <v>2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46270</v>
      </c>
      <c r="C13" s="157">
        <f t="shared" si="0"/>
        <v>46270</v>
      </c>
      <c r="D13" s="352">
        <f>IF(VLOOKUP($B13,Datenblatt!$A$43:$A$65,1,1)=$B13,0,VLOOKUP(WEEKDAY($B13),Datenblatt!$O$46:$Q$52,3,FALSE))</f>
        <v>0</v>
      </c>
      <c r="E13" s="352">
        <f>IF(VLOOKUP($B13,Datenblatt!$A$43:$A$65,1,1)=$B13,0,IF(WEEKDAY($B13)=7,1,IF(WEEKDAY($B13)=1,0,2)))</f>
        <v>1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46271</v>
      </c>
      <c r="C14" s="157">
        <f t="shared" si="0"/>
        <v>46271</v>
      </c>
      <c r="D14" s="352">
        <f>IF(VLOOKUP($B14,Datenblatt!$A$43:$A$65,1,1)=$B14,0,VLOOKUP(WEEKDAY($B14),Datenblatt!$O$46:$Q$52,3,FALSE))</f>
        <v>0</v>
      </c>
      <c r="E14" s="352">
        <f>IF(VLOOKUP($B14,Datenblatt!$A$43:$A$65,1,1)=$B14,0,IF(WEEKDAY($B14)=7,1,IF(WEEKDAY($B14)=1,0,2)))</f>
        <v>0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46272</v>
      </c>
      <c r="C15" s="157">
        <f t="shared" si="0"/>
        <v>46272</v>
      </c>
      <c r="D15" s="352">
        <f>IF(VLOOKUP($B15,Datenblatt!$A$43:$A$65,1,1)=$B15,0,VLOOKUP(WEEKDAY($B15),Datenblatt!$O$46:$Q$52,3,FALSE))</f>
        <v>8</v>
      </c>
      <c r="E15" s="352">
        <f>IF(VLOOKUP($B15,Datenblatt!$A$43:$A$65,1,1)=$B15,0,IF(WEEKDAY($B15)=7,1,IF(WEEKDAY($B15)=1,0,2)))</f>
        <v>2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46273</v>
      </c>
      <c r="C16" s="157">
        <f t="shared" si="0"/>
        <v>46273</v>
      </c>
      <c r="D16" s="352">
        <f>IF(VLOOKUP($B16,Datenblatt!$A$43:$A$65,1,1)=$B16,0,VLOOKUP(WEEKDAY($B16),Datenblatt!$O$46:$Q$52,3,FALSE))</f>
        <v>8</v>
      </c>
      <c r="E16" s="352">
        <f>IF(VLOOKUP($B16,Datenblatt!$A$43:$A$65,1,1)=$B16,0,IF(WEEKDAY($B16)=7,1,IF(WEEKDAY($B16)=1,0,2)))</f>
        <v>2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46274</v>
      </c>
      <c r="C17" s="157">
        <f t="shared" si="0"/>
        <v>46274</v>
      </c>
      <c r="D17" s="352">
        <f>IF(VLOOKUP($B17,Datenblatt!$A$43:$A$65,1,1)=$B17,0,VLOOKUP(WEEKDAY($B17),Datenblatt!$O$46:$Q$52,3,FALSE))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46275</v>
      </c>
      <c r="C18" s="157">
        <f t="shared" si="0"/>
        <v>46275</v>
      </c>
      <c r="D18" s="352">
        <f>IF(VLOOKUP($B18,Datenblatt!$A$43:$A$65,1,1)=$B18,0,VLOOKUP(WEEKDAY($B18),Datenblatt!$O$46:$Q$52,3,FALSE))</f>
        <v>8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46276</v>
      </c>
      <c r="C19" s="157">
        <f t="shared" si="0"/>
        <v>46276</v>
      </c>
      <c r="D19" s="352">
        <f>IF(VLOOKUP($B19,Datenblatt!$A$43:$A$65,1,1)=$B19,0,VLOOKUP(WEEKDAY($B19),Datenblatt!$O$46:$Q$52,3,FALSE))</f>
        <v>6</v>
      </c>
      <c r="E19" s="352">
        <f>IF(VLOOKUP($B19,Datenblatt!$A$43:$A$65,1,1)=$B19,0,IF(WEEKDAY($B19)=7,1,IF(WEEKDAY($B19)=1,0,2)))</f>
        <v>2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46277</v>
      </c>
      <c r="C20" s="157">
        <f t="shared" si="0"/>
        <v>46277</v>
      </c>
      <c r="D20" s="352">
        <f>IF(VLOOKUP($B20,Datenblatt!$A$43:$A$65,1,1)=$B20,0,VLOOKUP(WEEKDAY($B20),Datenblatt!$O$46:$Q$52,3,FALSE))</f>
        <v>0</v>
      </c>
      <c r="E20" s="352">
        <f>IF(VLOOKUP($B20,Datenblatt!$A$43:$A$65,1,1)=$B20,0,IF(WEEKDAY($B20)=7,1,IF(WEEKDAY($B20)=1,0,2)))</f>
        <v>1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46278</v>
      </c>
      <c r="C21" s="157">
        <f t="shared" si="0"/>
        <v>46278</v>
      </c>
      <c r="D21" s="352">
        <f>IF(VLOOKUP($B21,Datenblatt!$A$43:$A$65,1,1)=$B21,0,VLOOKUP(WEEKDAY($B21),Datenblatt!$O$46:$Q$52,3,FALSE))</f>
        <v>0</v>
      </c>
      <c r="E21" s="352">
        <f>IF(VLOOKUP($B21,Datenblatt!$A$43:$A$65,1,1)=$B21,0,IF(WEEKDAY($B21)=7,1,IF(WEEKDAY($B21)=1,0,2)))</f>
        <v>0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46279</v>
      </c>
      <c r="C22" s="157">
        <f t="shared" si="0"/>
        <v>46279</v>
      </c>
      <c r="D22" s="352">
        <f>IF(VLOOKUP($B22,Datenblatt!$A$43:$A$65,1,1)=$B22,0,VLOOKUP(WEEKDAY($B22),Datenblatt!$O$46:$Q$52,3,FALSE))</f>
        <v>8</v>
      </c>
      <c r="E22" s="352">
        <f>IF(VLOOKUP($B22,Datenblatt!$A$43:$A$65,1,1)=$B22,0,IF(WEEKDAY($B22)=7,1,IF(WEEKDAY($B22)=1,0,2)))</f>
        <v>2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46280</v>
      </c>
      <c r="C23" s="157">
        <f t="shared" si="0"/>
        <v>46280</v>
      </c>
      <c r="D23" s="352">
        <f>IF(VLOOKUP($B23,Datenblatt!$A$43:$A$65,1,1)=$B23,0,VLOOKUP(WEEKDAY($B23),Datenblatt!$O$46:$Q$52,3,FALSE))</f>
        <v>8</v>
      </c>
      <c r="E23" s="352">
        <f>IF(VLOOKUP($B23,Datenblatt!$A$43:$A$65,1,1)=$B23,0,IF(WEEKDAY($B23)=7,1,IF(WEEKDAY($B23)=1,0,2)))</f>
        <v>2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46281</v>
      </c>
      <c r="C24" s="157">
        <f t="shared" si="0"/>
        <v>46281</v>
      </c>
      <c r="D24" s="352">
        <f>IF(VLOOKUP($B24,Datenblatt!$A$43:$A$65,1,1)=$B24,0,VLOOKUP(WEEKDAY($B24),Datenblatt!$O$46:$Q$52,3,FALSE))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46282</v>
      </c>
      <c r="C25" s="157">
        <f t="shared" si="0"/>
        <v>46282</v>
      </c>
      <c r="D25" s="352">
        <f>IF(VLOOKUP($B25,Datenblatt!$A$43:$A$65,1,1)=$B25,0,VLOOKUP(WEEKDAY($B25),Datenblatt!$O$46:$Q$52,3,FALSE))</f>
        <v>8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46283</v>
      </c>
      <c r="C26" s="157">
        <f t="shared" si="0"/>
        <v>46283</v>
      </c>
      <c r="D26" s="352">
        <f>IF(VLOOKUP($B26,Datenblatt!$A$43:$A$65,1,1)=$B26,0,VLOOKUP(WEEKDAY($B26),Datenblatt!$O$46:$Q$52,3,FALSE))</f>
        <v>6</v>
      </c>
      <c r="E26" s="352">
        <f>IF(VLOOKUP($B26,Datenblatt!$A$43:$A$65,1,1)=$B26,0,IF(WEEKDAY($B26)=7,1,IF(WEEKDAY($B26)=1,0,2)))</f>
        <v>2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46284</v>
      </c>
      <c r="C27" s="157">
        <f t="shared" si="0"/>
        <v>46284</v>
      </c>
      <c r="D27" s="352">
        <f>IF(VLOOKUP($B27,Datenblatt!$A$43:$A$65,1,1)=$B27,0,VLOOKUP(WEEKDAY($B27),Datenblatt!$O$46:$Q$52,3,FALSE))</f>
        <v>0</v>
      </c>
      <c r="E27" s="352">
        <f>IF(VLOOKUP($B27,Datenblatt!$A$43:$A$65,1,1)=$B27,0,IF(WEEKDAY($B27)=7,1,IF(WEEKDAY($B27)=1,0,2)))</f>
        <v>1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46285</v>
      </c>
      <c r="C28" s="157">
        <f t="shared" si="0"/>
        <v>46285</v>
      </c>
      <c r="D28" s="352">
        <f>IF(VLOOKUP($B28,Datenblatt!$A$43:$A$65,1,1)=$B28,0,VLOOKUP(WEEKDAY($B28),Datenblatt!$O$46:$Q$52,3,FALSE))</f>
        <v>0</v>
      </c>
      <c r="E28" s="352">
        <f>IF(VLOOKUP($B28,Datenblatt!$A$43:$A$65,1,1)=$B28,0,IF(WEEKDAY($B28)=7,1,IF(WEEKDAY($B28)=1,0,2)))</f>
        <v>0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46286</v>
      </c>
      <c r="C29" s="157">
        <f t="shared" si="0"/>
        <v>46286</v>
      </c>
      <c r="D29" s="352">
        <f>IF(VLOOKUP($B29,Datenblatt!$A$43:$A$65,1,1)=$B29,0,VLOOKUP(WEEKDAY($B29),Datenblatt!$O$46:$Q$52,3,FALSE))</f>
        <v>8</v>
      </c>
      <c r="E29" s="352">
        <f>IF(VLOOKUP($B29,Datenblatt!$A$43:$A$65,1,1)=$B29,0,IF(WEEKDAY($B29)=7,1,IF(WEEKDAY($B29)=1,0,2)))</f>
        <v>2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46287</v>
      </c>
      <c r="C30" s="157">
        <f t="shared" si="0"/>
        <v>46287</v>
      </c>
      <c r="D30" s="352">
        <f>IF(VLOOKUP($B30,Datenblatt!$A$43:$A$65,1,1)=$B30,0,VLOOKUP(WEEKDAY($B30),Datenblatt!$O$46:$Q$52,3,FALSE))</f>
        <v>8</v>
      </c>
      <c r="E30" s="352">
        <f>IF(VLOOKUP($B30,Datenblatt!$A$43:$A$65,1,1)=$B30,0,IF(WEEKDAY($B30)=7,1,IF(WEEKDAY($B30)=1,0,2)))</f>
        <v>2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46288</v>
      </c>
      <c r="C31" s="157">
        <f t="shared" si="0"/>
        <v>46288</v>
      </c>
      <c r="D31" s="352">
        <f>IF(VLOOKUP($B31,Datenblatt!$A$43:$A$65,1,1)=$B31,0,VLOOKUP(WEEKDAY($B31),Datenblatt!$O$46:$Q$52,3,FALSE))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46289</v>
      </c>
      <c r="C32" s="157">
        <f t="shared" si="0"/>
        <v>46289</v>
      </c>
      <c r="D32" s="352">
        <f>IF(VLOOKUP($B32,Datenblatt!$A$43:$A$65,1,1)=$B32,0,VLOOKUP(WEEKDAY($B32),Datenblatt!$O$46:$Q$52,3,FALSE))</f>
        <v>8</v>
      </c>
      <c r="E32" s="352">
        <f>IF(VLOOKUP($B32,Datenblatt!$A$43:$A$65,1,1)=$B32,0,IF(WEEKDAY($B32)=7,1,IF(WEEKDAY($B32)=1,0,2)))</f>
        <v>2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46290</v>
      </c>
      <c r="C33" s="157">
        <f t="shared" si="0"/>
        <v>46290</v>
      </c>
      <c r="D33" s="352">
        <f>IF(VLOOKUP($B33,Datenblatt!$A$43:$A$65,1,1)=$B33,0,VLOOKUP(WEEKDAY($B33),Datenblatt!$O$46:$Q$52,3,FALSE))</f>
        <v>6</v>
      </c>
      <c r="E33" s="352">
        <f>IF(VLOOKUP($B33,Datenblatt!$A$43:$A$65,1,1)=$B33,0,IF(WEEKDAY($B33)=7,1,IF(WEEKDAY($B33)=1,0,2)))</f>
        <v>2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46291</v>
      </c>
      <c r="C34" s="157">
        <f t="shared" si="0"/>
        <v>46291</v>
      </c>
      <c r="D34" s="352">
        <f>IF(VLOOKUP($B34,Datenblatt!$A$43:$A$65,1,1)=$B34,0,VLOOKUP(WEEKDAY($B34),Datenblatt!$O$46:$Q$52,3,FALSE))</f>
        <v>0</v>
      </c>
      <c r="E34" s="352">
        <f>IF(VLOOKUP($B34,Datenblatt!$A$43:$A$65,1,1)=$B34,0,IF(WEEKDAY($B34)=7,1,IF(WEEKDAY($B34)=1,0,2)))</f>
        <v>1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46292</v>
      </c>
      <c r="C35" s="157">
        <f t="shared" si="0"/>
        <v>46292</v>
      </c>
      <c r="D35" s="352">
        <f>IF(VLOOKUP($B35,Datenblatt!$A$43:$A$65,1,1)=$B35,0,VLOOKUP(WEEKDAY($B35),Datenblatt!$O$46:$Q$52,3,FALSE))</f>
        <v>0</v>
      </c>
      <c r="E35" s="352">
        <f>IF(VLOOKUP($B35,Datenblatt!$A$43:$A$65,1,1)=$B35,0,IF(WEEKDAY($B35)=7,1,IF(WEEKDAY($B35)=1,0,2)))</f>
        <v>0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46293</v>
      </c>
      <c r="C36" s="157">
        <f t="shared" si="0"/>
        <v>46293</v>
      </c>
      <c r="D36" s="352">
        <f>IF(VLOOKUP($B36,Datenblatt!$A$43:$A$65,1,1)=$B36,0,VLOOKUP(WEEKDAY($B36),Datenblatt!$O$46:$Q$52,3,FALSE))</f>
        <v>8</v>
      </c>
      <c r="E36" s="352">
        <f>IF(VLOOKUP($B36,Datenblatt!$A$43:$A$65,1,1)=$B36,0,IF(WEEKDAY($B36)=7,1,IF(WEEKDAY($B36)=1,0,2)))</f>
        <v>2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46294</v>
      </c>
      <c r="C37" s="157">
        <f t="shared" si="0"/>
        <v>46294</v>
      </c>
      <c r="D37" s="352">
        <f>IF(VLOOKUP($B37,Datenblatt!$A$43:$A$65,1,1)=$B37,0,VLOOKUP(WEEKDAY($B37),Datenblatt!$O$46:$Q$52,3,FALSE))</f>
        <v>8</v>
      </c>
      <c r="E37" s="352">
        <f>IF(VLOOKUP($B37,Datenblatt!$A$43:$A$65,1,1)=$B37,0,IF(WEEKDAY($B37)=7,1,IF(WEEKDAY($B37)=1,0,2)))</f>
        <v>2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46295</v>
      </c>
      <c r="C38" s="157">
        <f t="shared" si="0"/>
        <v>46295</v>
      </c>
      <c r="D38" s="352">
        <f>IF(VLOOKUP($B38,Datenblatt!$A$43:$A$65,1,1)=$B38,0,VLOOKUP(WEEKDAY($B38),Datenblatt!$O$46:$Q$52,3,FALSE))</f>
        <v>8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/>
      <c r="C39" s="157"/>
      <c r="D39" s="158"/>
      <c r="E39" s="158"/>
      <c r="F39" s="197"/>
      <c r="G39" s="198"/>
      <c r="H39" s="199"/>
      <c r="I39" s="200"/>
      <c r="J39" s="199"/>
      <c r="K39" s="200"/>
      <c r="L39" s="201"/>
      <c r="M39" s="202"/>
      <c r="N39" s="203"/>
      <c r="O39" s="203"/>
      <c r="P39" s="204"/>
      <c r="Q39" s="205"/>
      <c r="R39" s="171" t="str">
        <f t="shared" si="1"/>
        <v/>
      </c>
      <c r="S39" s="172" t="str">
        <f t="shared" si="2"/>
        <v/>
      </c>
      <c r="T39" s="169" t="str">
        <f t="shared" si="3"/>
        <v/>
      </c>
      <c r="U39" s="170"/>
      <c r="V39" s="415"/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374" t="str">
        <f>IF(Datenblatt!Q55=2,"Übertragungsmöglichkeit in den nächsten Durchrechnungszeitraum per 30.09.:  +/-"&amp;Datenblatt!Q53&amp;" h",IF(Datenblatt!Q55=3,"Übertragungsmöglichkeit in den nächsten Durchrechnungszeitraum per 30.09.:  +/-"&amp;Datenblatt!Q53&amp;" h", IF(Datenblatt!Q55=1,"", IF(Datenblatt!Q55=4,""))))</f>
        <v>Übertragungsmöglichkeit in den nächsten Durchrechnungszeitraum per 30.09.:  +/-38 h</v>
      </c>
      <c r="X40" s="33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22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September "&amp;Datenblatt!$F$5&amp;":"</f>
        <v>Sollstunden für September 2026:</v>
      </c>
      <c r="N41" s="66"/>
      <c r="O41" s="66"/>
      <c r="P41" s="186"/>
      <c r="R41" s="187"/>
      <c r="S41" s="403">
        <f>SUM(D9:D39)</f>
        <v>168</v>
      </c>
      <c r="T41" s="403"/>
      <c r="U41" s="188"/>
      <c r="V41" s="188"/>
      <c r="W41" s="380"/>
      <c r="X41" s="66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September "&amp;Datenblatt!F5&amp;":   ","Zeitdefizit im Monat September "&amp;Datenblatt!F5&amp;":   ")</f>
        <v xml:space="preserve">Zeitdefizit im Monat September 2026:   </v>
      </c>
      <c r="N42" s="189"/>
      <c r="O42" s="189"/>
      <c r="R42" s="190"/>
      <c r="S42" s="397">
        <f>T40-SUM(D9:D39)</f>
        <v>-168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August "&amp;Datenblatt!F5&amp;":   ","  - Zeitdefizit aus August "&amp;Datenblatt!F5&amp;":   ")</f>
        <v xml:space="preserve">  - Zeitdefizit aus August 2026:   </v>
      </c>
      <c r="S43" s="398">
        <f>Aug!S44</f>
        <v>-1254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2" t="str">
        <f>IF(Datenblatt!Q55=2,"Korrektur des Übertrags für Oktober:",IF(Datenblatt!Q55=3,"Korrektur des Übertrags für Oktober:",IF(Datenblatt!Q55=1,"",IF(Datenblatt!Q55=4,""))))</f>
        <v>Korrektur des Übertrags für Oktober:</v>
      </c>
      <c r="S44" s="424">
        <v>0</v>
      </c>
      <c r="T44" s="424"/>
      <c r="U44" s="193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M45" s="189" t="str">
        <f>"Übertrag für Oktober "&amp;Datenblatt!F5</f>
        <v>Übertrag für Oktober 2026</v>
      </c>
      <c r="N45" s="2"/>
      <c r="O45" s="2"/>
      <c r="P45" s="2"/>
      <c r="Q45" s="2"/>
      <c r="R45" s="195"/>
      <c r="S45" s="399">
        <f>S43+S42-I42-S44</f>
        <v>-1422</v>
      </c>
      <c r="T45" s="399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8:X38"/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33:X33"/>
    <mergeCell ref="V34:X34"/>
    <mergeCell ref="V35:X35"/>
    <mergeCell ref="V36:X36"/>
    <mergeCell ref="V37:X37"/>
    <mergeCell ref="V28:X28"/>
    <mergeCell ref="V29:X29"/>
    <mergeCell ref="V30:X30"/>
    <mergeCell ref="V31:X31"/>
    <mergeCell ref="V32:X32"/>
    <mergeCell ref="L2:P2"/>
    <mergeCell ref="T4:U4"/>
    <mergeCell ref="T5:U5"/>
    <mergeCell ref="F7:G7"/>
    <mergeCell ref="H7:M7"/>
    <mergeCell ref="N7:O7"/>
    <mergeCell ref="P7:P8"/>
    <mergeCell ref="Q7:Q8"/>
    <mergeCell ref="S7:S8"/>
    <mergeCell ref="W7:W8"/>
    <mergeCell ref="X7:X8"/>
    <mergeCell ref="S41:T41"/>
    <mergeCell ref="G45:I45"/>
    <mergeCell ref="I42:J42"/>
    <mergeCell ref="S42:T42"/>
    <mergeCell ref="S43:T43"/>
    <mergeCell ref="S45:T45"/>
    <mergeCell ref="S44:T44"/>
    <mergeCell ref="V21:X21"/>
    <mergeCell ref="V22:X22"/>
    <mergeCell ref="V23:X23"/>
    <mergeCell ref="V24:X24"/>
    <mergeCell ref="V25:X25"/>
    <mergeCell ref="V26:X26"/>
    <mergeCell ref="V27:X27"/>
  </mergeCells>
  <phoneticPr fontId="2" type="noConversion"/>
  <conditionalFormatting sqref="A15 DY15:IV15">
    <cfRule type="cellIs" dxfId="1482" priority="1" stopIfTrue="1" operator="equal">
      <formula>MATCH($E15,0)</formula>
    </cfRule>
    <cfRule type="expression" dxfId="1481" priority="2" stopIfTrue="1">
      <formula>"WOCHENTAG($B8)=1"</formula>
    </cfRule>
    <cfRule type="expression" dxfId="1480" priority="3" stopIfTrue="1">
      <formula>"WOCHENTAG($B8)=7"</formula>
    </cfRule>
  </conditionalFormatting>
  <conditionalFormatting sqref="B9:C9">
    <cfRule type="expression" dxfId="1479" priority="66" stopIfTrue="1">
      <formula>($E$9=1)</formula>
    </cfRule>
  </conditionalFormatting>
  <conditionalFormatting sqref="B10:C10">
    <cfRule type="expression" dxfId="1478" priority="69" stopIfTrue="1">
      <formula>($E$10=1)</formula>
    </cfRule>
  </conditionalFormatting>
  <conditionalFormatting sqref="B11:C11">
    <cfRule type="expression" dxfId="1477" priority="72" stopIfTrue="1">
      <formula>($E$11=1)</formula>
    </cfRule>
  </conditionalFormatting>
  <conditionalFormatting sqref="B12:C12">
    <cfRule type="expression" dxfId="1476" priority="75" stopIfTrue="1">
      <formula>($E$12=1)</formula>
    </cfRule>
  </conditionalFormatting>
  <conditionalFormatting sqref="B13:C13">
    <cfRule type="expression" dxfId="1475" priority="78" stopIfTrue="1">
      <formula>($E$13=1)</formula>
    </cfRule>
  </conditionalFormatting>
  <conditionalFormatting sqref="B14:C14">
    <cfRule type="expression" dxfId="1474" priority="81" stopIfTrue="1">
      <formula>($E$14=1)</formula>
    </cfRule>
  </conditionalFormatting>
  <conditionalFormatting sqref="B15:C15">
    <cfRule type="expression" dxfId="1473" priority="84" stopIfTrue="1">
      <formula>($E$15=1)</formula>
    </cfRule>
  </conditionalFormatting>
  <conditionalFormatting sqref="B16:C16">
    <cfRule type="expression" dxfId="1472" priority="87" stopIfTrue="1">
      <formula>($E$16=1)</formula>
    </cfRule>
  </conditionalFormatting>
  <conditionalFormatting sqref="B17:C17">
    <cfRule type="expression" dxfId="1471" priority="90" stopIfTrue="1">
      <formula>($E$17=1)</formula>
    </cfRule>
  </conditionalFormatting>
  <conditionalFormatting sqref="B18:C18">
    <cfRule type="expression" dxfId="1470" priority="93" stopIfTrue="1">
      <formula>($E$18=1)</formula>
    </cfRule>
  </conditionalFormatting>
  <conditionalFormatting sqref="B19:C19">
    <cfRule type="expression" dxfId="1469" priority="96" stopIfTrue="1">
      <formula>($E$19=1)</formula>
    </cfRule>
  </conditionalFormatting>
  <conditionalFormatting sqref="B20:C20">
    <cfRule type="expression" dxfId="1468" priority="99" stopIfTrue="1">
      <formula>($E$20=1)</formula>
    </cfRule>
  </conditionalFormatting>
  <conditionalFormatting sqref="B21:C21">
    <cfRule type="expression" dxfId="1467" priority="102" stopIfTrue="1">
      <formula>($E$21=1)</formula>
    </cfRule>
  </conditionalFormatting>
  <conditionalFormatting sqref="B22:C22">
    <cfRule type="expression" dxfId="1466" priority="105" stopIfTrue="1">
      <formula>($E$22=1)</formula>
    </cfRule>
  </conditionalFormatting>
  <conditionalFormatting sqref="B23:C23">
    <cfRule type="expression" dxfId="1465" priority="108" stopIfTrue="1">
      <formula>($E$23=1)</formula>
    </cfRule>
  </conditionalFormatting>
  <conditionalFormatting sqref="B24:C24">
    <cfRule type="expression" dxfId="1464" priority="111" stopIfTrue="1">
      <formula>($E$24=1)</formula>
    </cfRule>
  </conditionalFormatting>
  <conditionalFormatting sqref="B25:C25">
    <cfRule type="expression" dxfId="1463" priority="114" stopIfTrue="1">
      <formula>($E$25=1)</formula>
    </cfRule>
  </conditionalFormatting>
  <conditionalFormatting sqref="B26:C26">
    <cfRule type="expression" dxfId="1462" priority="117" stopIfTrue="1">
      <formula>($E$26=1)</formula>
    </cfRule>
  </conditionalFormatting>
  <conditionalFormatting sqref="B27:C27">
    <cfRule type="expression" dxfId="1461" priority="120" stopIfTrue="1">
      <formula>($E$27=1)</formula>
    </cfRule>
  </conditionalFormatting>
  <conditionalFormatting sqref="B28:C28">
    <cfRule type="expression" dxfId="1460" priority="123" stopIfTrue="1">
      <formula>($E$28=1)</formula>
    </cfRule>
  </conditionalFormatting>
  <conditionalFormatting sqref="B29:C29">
    <cfRule type="expression" dxfId="1459" priority="126" stopIfTrue="1">
      <formula>($E$29=1)</formula>
    </cfRule>
  </conditionalFormatting>
  <conditionalFormatting sqref="B30:C30">
    <cfRule type="expression" dxfId="1458" priority="129" stopIfTrue="1">
      <formula>($E$30=1)</formula>
    </cfRule>
  </conditionalFormatting>
  <conditionalFormatting sqref="B31:C31">
    <cfRule type="expression" dxfId="1457" priority="132" stopIfTrue="1">
      <formula>($E$31=1)</formula>
    </cfRule>
  </conditionalFormatting>
  <conditionalFormatting sqref="B32:C32">
    <cfRule type="expression" dxfId="1456" priority="135" stopIfTrue="1">
      <formula>($E$32=1)</formula>
    </cfRule>
  </conditionalFormatting>
  <conditionalFormatting sqref="B33:C33">
    <cfRule type="expression" dxfId="1455" priority="138" stopIfTrue="1">
      <formula>($E$33=1)</formula>
    </cfRule>
  </conditionalFormatting>
  <conditionalFormatting sqref="B34:C34">
    <cfRule type="expression" dxfId="1454" priority="141" stopIfTrue="1">
      <formula>($E$34=1)</formula>
    </cfRule>
  </conditionalFormatting>
  <conditionalFormatting sqref="B35:C35">
    <cfRule type="expression" dxfId="1453" priority="144" stopIfTrue="1">
      <formula>($E$35=1)</formula>
    </cfRule>
  </conditionalFormatting>
  <conditionalFormatting sqref="B36:C36">
    <cfRule type="expression" dxfId="1452" priority="147" stopIfTrue="1">
      <formula>($E$36=1)</formula>
    </cfRule>
  </conditionalFormatting>
  <conditionalFormatting sqref="B37:C37">
    <cfRule type="expression" dxfId="1451" priority="150" stopIfTrue="1">
      <formula>($E$37=1)</formula>
    </cfRule>
  </conditionalFormatting>
  <conditionalFormatting sqref="B38:C38">
    <cfRule type="expression" dxfId="1450" priority="153" stopIfTrue="1">
      <formula>($E$38=1)</formula>
    </cfRule>
  </conditionalFormatting>
  <conditionalFormatting sqref="B9:T9 V9">
    <cfRule type="expression" dxfId="1449" priority="4" stopIfTrue="1">
      <formula>($E$9=0)</formula>
    </cfRule>
    <cfRule type="expression" dxfId="1448" priority="5" stopIfTrue="1">
      <formula>($D$9="Ersatzruhetag")</formula>
    </cfRule>
  </conditionalFormatting>
  <conditionalFormatting sqref="B10:T10 V10">
    <cfRule type="expression" dxfId="1447" priority="6" stopIfTrue="1">
      <formula>($E$10=0)</formula>
    </cfRule>
    <cfRule type="expression" dxfId="1446" priority="7" stopIfTrue="1">
      <formula>($D$10="Ersatzruhetag")</formula>
    </cfRule>
  </conditionalFormatting>
  <conditionalFormatting sqref="B11:T11 V11">
    <cfRule type="expression" dxfId="1445" priority="8" stopIfTrue="1">
      <formula>($E$11=0)</formula>
    </cfRule>
    <cfRule type="expression" dxfId="1444" priority="9" stopIfTrue="1">
      <formula>($D$11="Ersatzruhetag")</formula>
    </cfRule>
  </conditionalFormatting>
  <conditionalFormatting sqref="B12:T12 V12">
    <cfRule type="expression" dxfId="1443" priority="10" stopIfTrue="1">
      <formula>($E$12=0)</formula>
    </cfRule>
    <cfRule type="expression" dxfId="1442" priority="11" stopIfTrue="1">
      <formula>($D$12="Ersatzruhetag")</formula>
    </cfRule>
  </conditionalFormatting>
  <conditionalFormatting sqref="B13:T13 V13">
    <cfRule type="expression" dxfId="1441" priority="13" stopIfTrue="1">
      <formula>($D$13="Ersatzruhetag")</formula>
    </cfRule>
    <cfRule type="expression" dxfId="1440" priority="12" stopIfTrue="1">
      <formula>($E$13=0)</formula>
    </cfRule>
  </conditionalFormatting>
  <conditionalFormatting sqref="B14:T14 V14">
    <cfRule type="expression" dxfId="1439" priority="14" stopIfTrue="1">
      <formula>($E$14=0)</formula>
    </cfRule>
    <cfRule type="expression" dxfId="1438" priority="15" stopIfTrue="1">
      <formula>($D$14="Ersatzruhetag")</formula>
    </cfRule>
  </conditionalFormatting>
  <conditionalFormatting sqref="B15:T15 V15">
    <cfRule type="expression" dxfId="1437" priority="16" stopIfTrue="1">
      <formula>($E$15=0)</formula>
    </cfRule>
    <cfRule type="expression" dxfId="1436" priority="17" stopIfTrue="1">
      <formula>($D$15="Ersatzruhetag")</formula>
    </cfRule>
  </conditionalFormatting>
  <conditionalFormatting sqref="B16:T16 V16">
    <cfRule type="expression" dxfId="1435" priority="19" stopIfTrue="1">
      <formula>($D$16="Ersatzruhetag")</formula>
    </cfRule>
    <cfRule type="expression" dxfId="1434" priority="18" stopIfTrue="1">
      <formula>($E$16=0)</formula>
    </cfRule>
  </conditionalFormatting>
  <conditionalFormatting sqref="B17:T17 V17">
    <cfRule type="expression" dxfId="1433" priority="20" stopIfTrue="1">
      <formula>($E$17=0)</formula>
    </cfRule>
    <cfRule type="expression" dxfId="1432" priority="21" stopIfTrue="1">
      <formula>($D$17="Ersatzruhetag")</formula>
    </cfRule>
  </conditionalFormatting>
  <conditionalFormatting sqref="B18:T18 V18">
    <cfRule type="expression" dxfId="1431" priority="22" stopIfTrue="1">
      <formula>($E$18=0)</formula>
    </cfRule>
    <cfRule type="expression" dxfId="1430" priority="23" stopIfTrue="1">
      <formula>($D$18="Ersatzruhetag")</formula>
    </cfRule>
  </conditionalFormatting>
  <conditionalFormatting sqref="B19:T19 V19">
    <cfRule type="expression" dxfId="1429" priority="24" stopIfTrue="1">
      <formula>($E$19=0)</formula>
    </cfRule>
    <cfRule type="expression" dxfId="1428" priority="25" stopIfTrue="1">
      <formula>($D$19="Ersatzruhetag")</formula>
    </cfRule>
  </conditionalFormatting>
  <conditionalFormatting sqref="B20:T20 V20">
    <cfRule type="expression" dxfId="1427" priority="26" stopIfTrue="1">
      <formula>($E$20=0)</formula>
    </cfRule>
    <cfRule type="expression" dxfId="1426" priority="27" stopIfTrue="1">
      <formula>($D$20="Ersatzruhetag")</formula>
    </cfRule>
  </conditionalFormatting>
  <conditionalFormatting sqref="B21:T21 V21">
    <cfRule type="expression" dxfId="1425" priority="28" stopIfTrue="1">
      <formula>($E$21=0)</formula>
    </cfRule>
    <cfRule type="expression" dxfId="1424" priority="29" stopIfTrue="1">
      <formula>($D$21="Ersatzruhetag")</formula>
    </cfRule>
  </conditionalFormatting>
  <conditionalFormatting sqref="B22:T22 V22">
    <cfRule type="expression" dxfId="1423" priority="30" stopIfTrue="1">
      <formula>($E$22=0)</formula>
    </cfRule>
    <cfRule type="expression" dxfId="1422" priority="31" stopIfTrue="1">
      <formula>($D$22="Ersatzruhetag")</formula>
    </cfRule>
  </conditionalFormatting>
  <conditionalFormatting sqref="B23:T23 V23">
    <cfRule type="expression" dxfId="1421" priority="32" stopIfTrue="1">
      <formula>($E$23=0)</formula>
    </cfRule>
    <cfRule type="expression" dxfId="1420" priority="33" stopIfTrue="1">
      <formula>($D$23="Ersatzruhetag")</formula>
    </cfRule>
  </conditionalFormatting>
  <conditionalFormatting sqref="B24:T24 V24">
    <cfRule type="expression" dxfId="1419" priority="35" stopIfTrue="1">
      <formula>($D$24="Ersatzruhetag")</formula>
    </cfRule>
    <cfRule type="expression" dxfId="1418" priority="34" stopIfTrue="1">
      <formula>($E$24=0)</formula>
    </cfRule>
  </conditionalFormatting>
  <conditionalFormatting sqref="B25:T25 V25">
    <cfRule type="expression" dxfId="1417" priority="36" stopIfTrue="1">
      <formula>($E$25=0)</formula>
    </cfRule>
    <cfRule type="expression" dxfId="1416" priority="37" stopIfTrue="1">
      <formula>($D$25="Ersatzruhetag")</formula>
    </cfRule>
  </conditionalFormatting>
  <conditionalFormatting sqref="B26:T26 V26">
    <cfRule type="expression" dxfId="1415" priority="38" stopIfTrue="1">
      <formula>($E$26=0)</formula>
    </cfRule>
    <cfRule type="expression" dxfId="1414" priority="39" stopIfTrue="1">
      <formula>($D$26="Ersatzruhetag")</formula>
    </cfRule>
  </conditionalFormatting>
  <conditionalFormatting sqref="B27:T27 V27">
    <cfRule type="expression" dxfId="1413" priority="40" stopIfTrue="1">
      <formula>($E$27=0)</formula>
    </cfRule>
    <cfRule type="expression" dxfId="1412" priority="41" stopIfTrue="1">
      <formula>($D$27="Ersatzruhetag")</formula>
    </cfRule>
  </conditionalFormatting>
  <conditionalFormatting sqref="B28:T28 V28">
    <cfRule type="expression" dxfId="1411" priority="43" stopIfTrue="1">
      <formula>($D$28="Ersatzruhetag")</formula>
    </cfRule>
    <cfRule type="expression" dxfId="1410" priority="42" stopIfTrue="1">
      <formula>($E$28=0)</formula>
    </cfRule>
  </conditionalFormatting>
  <conditionalFormatting sqref="B29:T29 V29">
    <cfRule type="expression" dxfId="1409" priority="44" stopIfTrue="1">
      <formula>($E$29=0)</formula>
    </cfRule>
    <cfRule type="expression" dxfId="1408" priority="45" stopIfTrue="1">
      <formula>($D$29="Ersatzruhetag")</formula>
    </cfRule>
  </conditionalFormatting>
  <conditionalFormatting sqref="B30:T30 V30">
    <cfRule type="expression" dxfId="1407" priority="46" stopIfTrue="1">
      <formula>($E$30=0)</formula>
    </cfRule>
    <cfRule type="expression" dxfId="1406" priority="47" stopIfTrue="1">
      <formula>($D$30="Ersatzruhetag")</formula>
    </cfRule>
  </conditionalFormatting>
  <conditionalFormatting sqref="B31:T31 V31">
    <cfRule type="expression" dxfId="1405" priority="49" stopIfTrue="1">
      <formula>($D$31="Ersatzruhetag")</formula>
    </cfRule>
    <cfRule type="expression" dxfId="1404" priority="48" stopIfTrue="1">
      <formula>($E$31=0)</formula>
    </cfRule>
  </conditionalFormatting>
  <conditionalFormatting sqref="B32:T32 V32">
    <cfRule type="expression" dxfId="1403" priority="50" stopIfTrue="1">
      <formula>($E$32=0)</formula>
    </cfRule>
    <cfRule type="expression" dxfId="1402" priority="51" stopIfTrue="1">
      <formula>($D$32="Ersatzruhetag")</formula>
    </cfRule>
  </conditionalFormatting>
  <conditionalFormatting sqref="B33:T33 V33">
    <cfRule type="expression" dxfId="1401" priority="53" stopIfTrue="1">
      <formula>($D$33="Ersatzruhetag")</formula>
    </cfRule>
    <cfRule type="expression" dxfId="1400" priority="52" stopIfTrue="1">
      <formula>($E$33=0)</formula>
    </cfRule>
  </conditionalFormatting>
  <conditionalFormatting sqref="B34:T34 V34">
    <cfRule type="expression" dxfId="1399" priority="55" stopIfTrue="1">
      <formula>($D$34="Ersatzruhetag")</formula>
    </cfRule>
    <cfRule type="expression" dxfId="1398" priority="54" stopIfTrue="1">
      <formula>($E$34=0)</formula>
    </cfRule>
  </conditionalFormatting>
  <conditionalFormatting sqref="B35:T35 V35">
    <cfRule type="expression" dxfId="1397" priority="57" stopIfTrue="1">
      <formula>($D$35="Ersatzruhetag")</formula>
    </cfRule>
    <cfRule type="expression" dxfId="1396" priority="56" stopIfTrue="1">
      <formula>($E$35=0)</formula>
    </cfRule>
  </conditionalFormatting>
  <conditionalFormatting sqref="B36:T36 V36">
    <cfRule type="expression" dxfId="1395" priority="59" stopIfTrue="1">
      <formula>($D$36="Ersatzruhetag")</formula>
    </cfRule>
    <cfRule type="expression" dxfId="1394" priority="58" stopIfTrue="1">
      <formula>($E$36=0)</formula>
    </cfRule>
  </conditionalFormatting>
  <conditionalFormatting sqref="B37:T37 V37">
    <cfRule type="expression" dxfId="1393" priority="61" stopIfTrue="1">
      <formula>($D$37="Ersatzruhetag")</formula>
    </cfRule>
    <cfRule type="expression" dxfId="1392" priority="60" stopIfTrue="1">
      <formula>($E$37=0)</formula>
    </cfRule>
  </conditionalFormatting>
  <conditionalFormatting sqref="B38:T38 V38">
    <cfRule type="expression" dxfId="1391" priority="63" stopIfTrue="1">
      <formula>($D$38="Ersatzruhetag")</formula>
    </cfRule>
    <cfRule type="expression" dxfId="1390" priority="62" stopIfTrue="1">
      <formula>($E$38=0)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8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F39" sqref="F3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0.140625" style="94" hidden="1" customWidth="1"/>
    <col min="5" max="5" width="7.140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DATE(Datenblatt!F5,10,1)</f>
        <v>46296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"&amp;Datenblatt!$T$46&amp;";"&amp;"    Di: "&amp;Datenblatt!$T$47&amp;";"&amp;"    Mi: "&amp;Datenblatt!$T$48&amp;";"&amp;"    Do: "&amp;Datenblatt!$T$49&amp;";"&amp;"    Fr: "&amp;Datenblatt!$T$50&amp;";"&amp;"    Sa: "&amp;Datenblatt!$T$51&amp;";"&amp;"    So: "&amp;Datenblatt!$T$52&amp;""&amp;"     -    Wochenarbeitszeit:  "&amp;Datenblatt!$T$53&amp;"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Sept!T5+Datenblatt!T54</f>
        <v>190</v>
      </c>
      <c r="U4" s="405"/>
      <c r="V4" s="141"/>
      <c r="W4" s="142" t="str">
        <f>"Urlaubsanspruch per 01.10."&amp;Datenblatt!$F$5</f>
        <v>Urlaubsanspruch per 01.10.2026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"&amp;IF(Datenblatt!T55=1,Datenblatt!D34,IF(Datenblatt!T55=2,Datenblatt!D35,IF(Datenblatt!T55=3,Datenblatt!D36,IF(Datenblatt!T55=4,Datenblatt!D37))))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190</v>
      </c>
      <c r="U5" s="405"/>
      <c r="V5" s="141"/>
      <c r="W5" s="143" t="str">
        <f>"Resturlaub per 31.10."&amp;Datenblatt!$F$5</f>
        <v>Resturlaub per 31.10.2026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46296</v>
      </c>
      <c r="C9" s="157">
        <f t="shared" ref="C9:C39" si="0">B9</f>
        <v>46296</v>
      </c>
      <c r="D9" s="350">
        <f>IF(VLOOKUP($B9,Datenblatt!$A$43:$A$65,1,1)=$B9,0,VLOOKUP(WEEKDAY($B9),Datenblatt!$R$46:$T$52,3,FALSE))</f>
        <v>8</v>
      </c>
      <c r="E9" s="350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9" si="4">B9+1</f>
        <v>46297</v>
      </c>
      <c r="C10" s="157">
        <f t="shared" si="0"/>
        <v>46297</v>
      </c>
      <c r="D10" s="351">
        <f>IF(VLOOKUP($B10,Datenblatt!$A$43:$A$65,1,1)=$B10,0,VLOOKUP(WEEKDAY($B10),Datenblatt!$R$46:$T$52,3,FALSE))</f>
        <v>6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46298</v>
      </c>
      <c r="C11" s="157">
        <f t="shared" si="0"/>
        <v>46298</v>
      </c>
      <c r="D11" s="352">
        <f>IF(VLOOKUP($B11,Datenblatt!$A$43:$A$65,1,1)=$B11,0,VLOOKUP(WEEKDAY($B11),Datenblatt!$R$46:$T$52,3,FALSE))</f>
        <v>0</v>
      </c>
      <c r="E11" s="352">
        <f>IF(VLOOKUP($B11,Datenblatt!$A$43:$A$65,1,1)=$B11,0,IF(WEEKDAY($B11)=7,1,IF(WEEKDAY($B11)=1,0,2)))</f>
        <v>1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46299</v>
      </c>
      <c r="C12" s="157">
        <f t="shared" si="0"/>
        <v>46299</v>
      </c>
      <c r="D12" s="352">
        <f>IF(VLOOKUP($B12,Datenblatt!$A$43:$A$65,1,1)=$B12,0,VLOOKUP(WEEKDAY($B12),Datenblatt!$R$46:$T$52,3,FALSE))</f>
        <v>0</v>
      </c>
      <c r="E12" s="352">
        <f>IF(VLOOKUP($B12,Datenblatt!$A$43:$A$65,1,1)=$B12,0,IF(WEEKDAY($B12)=7,1,IF(WEEKDAY($B12)=1,0,2)))</f>
        <v>0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46300</v>
      </c>
      <c r="C13" s="157">
        <f t="shared" si="0"/>
        <v>46300</v>
      </c>
      <c r="D13" s="352">
        <f>IF(VLOOKUP($B13,Datenblatt!$A$43:$A$65,1,1)=$B13,0,VLOOKUP(WEEKDAY($B13),Datenblatt!$R$46:$T$52,3,FALSE))</f>
        <v>8</v>
      </c>
      <c r="E13" s="352">
        <f>IF(VLOOKUP($B13,Datenblatt!$A$43:$A$65,1,1)=$B13,0,IF(WEEKDAY($B13)=7,1,IF(WEEKDAY($B13)=1,0,2)))</f>
        <v>2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46301</v>
      </c>
      <c r="C14" s="157">
        <f t="shared" si="0"/>
        <v>46301</v>
      </c>
      <c r="D14" s="352">
        <f>IF(VLOOKUP($B14,Datenblatt!$A$43:$A$65,1,1)=$B14,0,VLOOKUP(WEEKDAY($B14),Datenblatt!$R$46:$T$52,3,FALSE))</f>
        <v>8</v>
      </c>
      <c r="E14" s="352">
        <f>IF(VLOOKUP($B14,Datenblatt!$A$43:$A$65,1,1)=$B14,0,IF(WEEKDAY($B14)=7,1,IF(WEEKDAY($B14)=1,0,2)))</f>
        <v>2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46302</v>
      </c>
      <c r="C15" s="157">
        <f t="shared" si="0"/>
        <v>46302</v>
      </c>
      <c r="D15" s="352">
        <f>IF(VLOOKUP($B15,Datenblatt!$A$43:$A$65,1,1)=$B15,0,VLOOKUP(WEEKDAY($B15),Datenblatt!$R$46:$T$52,3,FALSE))</f>
        <v>8</v>
      </c>
      <c r="E15" s="352">
        <f>IF(VLOOKUP($B15,Datenblatt!$A$43:$A$65,1,1)=$B15,0,IF(WEEKDAY($B15)=7,1,IF(WEEKDAY($B15)=1,0,2)))</f>
        <v>2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46303</v>
      </c>
      <c r="C16" s="157">
        <f t="shared" si="0"/>
        <v>46303</v>
      </c>
      <c r="D16" s="352">
        <f>IF(VLOOKUP($B16,Datenblatt!$A$43:$A$65,1,1)=$B16,0,VLOOKUP(WEEKDAY($B16),Datenblatt!$R$46:$T$52,3,FALSE))</f>
        <v>8</v>
      </c>
      <c r="E16" s="352">
        <f>IF(VLOOKUP($B16,Datenblatt!$A$43:$A$65,1,1)=$B16,0,IF(WEEKDAY($B16)=7,1,IF(WEEKDAY($B16)=1,0,2)))</f>
        <v>2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46304</v>
      </c>
      <c r="C17" s="157">
        <f t="shared" si="0"/>
        <v>46304</v>
      </c>
      <c r="D17" s="352">
        <f>IF(VLOOKUP($B17,Datenblatt!$A$43:$A$65,1,1)=$B17,0,VLOOKUP(WEEKDAY($B17),Datenblatt!$R$46:$T$52,3,FALSE))</f>
        <v>6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46305</v>
      </c>
      <c r="C18" s="157">
        <f t="shared" si="0"/>
        <v>46305</v>
      </c>
      <c r="D18" s="352">
        <f>IF(VLOOKUP($B18,Datenblatt!$A$43:$A$65,1,1)=$B18,0,VLOOKUP(WEEKDAY($B18),Datenblatt!$R$46:$T$52,3,FALSE))</f>
        <v>0</v>
      </c>
      <c r="E18" s="352">
        <f>IF(VLOOKUP($B18,Datenblatt!$A$43:$A$65,1,1)=$B18,0,IF(WEEKDAY($B18)=7,1,IF(WEEKDAY($B18)=1,0,2)))</f>
        <v>1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46306</v>
      </c>
      <c r="C19" s="157">
        <f t="shared" si="0"/>
        <v>46306</v>
      </c>
      <c r="D19" s="352">
        <f>IF(VLOOKUP($B19,Datenblatt!$A$43:$A$65,1,1)=$B19,0,VLOOKUP(WEEKDAY($B19),Datenblatt!$R$46:$T$52,3,FALSE))</f>
        <v>0</v>
      </c>
      <c r="E19" s="352">
        <f>IF(VLOOKUP($B19,Datenblatt!$A$43:$A$65,1,1)=$B19,0,IF(WEEKDAY($B19)=7,1,IF(WEEKDAY($B19)=1,0,2)))</f>
        <v>0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46307</v>
      </c>
      <c r="C20" s="157">
        <f t="shared" si="0"/>
        <v>46307</v>
      </c>
      <c r="D20" s="352">
        <f>IF(VLOOKUP($B20,Datenblatt!$A$43:$A$65,1,1)=$B20,0,VLOOKUP(WEEKDAY($B20),Datenblatt!$R$46:$T$52,3,FALSE))</f>
        <v>8</v>
      </c>
      <c r="E20" s="352">
        <f>IF(VLOOKUP($B20,Datenblatt!$A$43:$A$65,1,1)=$B20,0,IF(WEEKDAY($B20)=7,1,IF(WEEKDAY($B20)=1,0,2)))</f>
        <v>2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46308</v>
      </c>
      <c r="C21" s="157">
        <f t="shared" si="0"/>
        <v>46308</v>
      </c>
      <c r="D21" s="352">
        <f>IF(VLOOKUP($B21,Datenblatt!$A$43:$A$65,1,1)=$B21,0,VLOOKUP(WEEKDAY($B21),Datenblatt!$R$46:$T$52,3,FALSE))</f>
        <v>8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46309</v>
      </c>
      <c r="C22" s="157">
        <f t="shared" si="0"/>
        <v>46309</v>
      </c>
      <c r="D22" s="352">
        <f>IF(VLOOKUP($B22,Datenblatt!$A$43:$A$65,1,1)=$B22,0,VLOOKUP(WEEKDAY($B22),Datenblatt!$R$46:$T$52,3,FALSE))</f>
        <v>8</v>
      </c>
      <c r="E22" s="352">
        <f>IF(VLOOKUP($B22,Datenblatt!$A$43:$A$65,1,1)=$B22,0,IF(WEEKDAY($B22)=7,1,IF(WEEKDAY($B22)=1,0,2)))</f>
        <v>2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46310</v>
      </c>
      <c r="C23" s="157">
        <f t="shared" si="0"/>
        <v>46310</v>
      </c>
      <c r="D23" s="352">
        <f>IF(VLOOKUP($B23,Datenblatt!$A$43:$A$65,1,1)=$B23,0,VLOOKUP(WEEKDAY($B23),Datenblatt!$R$46:$T$52,3,FALSE))</f>
        <v>8</v>
      </c>
      <c r="E23" s="352">
        <f>IF(VLOOKUP($B23,Datenblatt!$A$43:$A$65,1,1)=$B23,0,IF(WEEKDAY($B23)=7,1,IF(WEEKDAY($B23)=1,0,2)))</f>
        <v>2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46311</v>
      </c>
      <c r="C24" s="157">
        <f t="shared" si="0"/>
        <v>46311</v>
      </c>
      <c r="D24" s="352">
        <f>IF(VLOOKUP($B24,Datenblatt!$A$43:$A$65,1,1)=$B24,0,VLOOKUP(WEEKDAY($B24),Datenblatt!$R$46:$T$52,3,FALSE))</f>
        <v>6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46312</v>
      </c>
      <c r="C25" s="157">
        <f t="shared" si="0"/>
        <v>46312</v>
      </c>
      <c r="D25" s="352">
        <f>IF(VLOOKUP($B25,Datenblatt!$A$43:$A$65,1,1)=$B25,0,VLOOKUP(WEEKDAY($B25),Datenblatt!$R$46:$T$52,3,FALSE))</f>
        <v>0</v>
      </c>
      <c r="E25" s="352">
        <f>IF(VLOOKUP($B25,Datenblatt!$A$43:$A$65,1,1)=$B25,0,IF(WEEKDAY($B25)=7,1,IF(WEEKDAY($B25)=1,0,2)))</f>
        <v>1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46313</v>
      </c>
      <c r="C26" s="157">
        <f t="shared" si="0"/>
        <v>46313</v>
      </c>
      <c r="D26" s="352">
        <f>IF(VLOOKUP($B26,Datenblatt!$A$43:$A$65,1,1)=$B26,0,VLOOKUP(WEEKDAY($B26),Datenblatt!$R$46:$T$52,3,FALSE))</f>
        <v>0</v>
      </c>
      <c r="E26" s="352">
        <f>IF(VLOOKUP($B26,Datenblatt!$A$43:$A$65,1,1)=$B26,0,IF(WEEKDAY($B26)=7,1,IF(WEEKDAY($B26)=1,0,2)))</f>
        <v>0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46314</v>
      </c>
      <c r="C27" s="157">
        <f t="shared" si="0"/>
        <v>46314</v>
      </c>
      <c r="D27" s="352">
        <f>IF(VLOOKUP($B27,Datenblatt!$A$43:$A$65,1,1)=$B27,0,VLOOKUP(WEEKDAY($B27),Datenblatt!$R$46:$T$52,3,FALSE))</f>
        <v>8</v>
      </c>
      <c r="E27" s="352">
        <f>IF(VLOOKUP($B27,Datenblatt!$A$43:$A$65,1,1)=$B27,0,IF(WEEKDAY($B27)=7,1,IF(WEEKDAY($B27)=1,0,2)))</f>
        <v>2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46315</v>
      </c>
      <c r="C28" s="157">
        <f t="shared" si="0"/>
        <v>46315</v>
      </c>
      <c r="D28" s="352">
        <f>IF(VLOOKUP($B28,Datenblatt!$A$43:$A$65,1,1)=$B28,0,VLOOKUP(WEEKDAY($B28),Datenblatt!$R$46:$T$52,3,FALSE))</f>
        <v>8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46316</v>
      </c>
      <c r="C29" s="157">
        <f t="shared" si="0"/>
        <v>46316</v>
      </c>
      <c r="D29" s="352">
        <f>IF(VLOOKUP($B29,Datenblatt!$A$43:$A$65,1,1)=$B29,0,VLOOKUP(WEEKDAY($B29),Datenblatt!$R$46:$T$52,3,FALSE))</f>
        <v>8</v>
      </c>
      <c r="E29" s="352">
        <f>IF(VLOOKUP($B29,Datenblatt!$A$43:$A$65,1,1)=$B29,0,IF(WEEKDAY($B29)=7,1,IF(WEEKDAY($B29)=1,0,2)))</f>
        <v>2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46317</v>
      </c>
      <c r="C30" s="157">
        <f t="shared" si="0"/>
        <v>46317</v>
      </c>
      <c r="D30" s="352">
        <f>IF(VLOOKUP($B30,Datenblatt!$A$43:$A$65,1,1)=$B30,0,VLOOKUP(WEEKDAY($B30),Datenblatt!$R$46:$T$52,3,FALSE))</f>
        <v>8</v>
      </c>
      <c r="E30" s="352">
        <f>IF(VLOOKUP($B30,Datenblatt!$A$43:$A$65,1,1)=$B30,0,IF(WEEKDAY($B30)=7,1,IF(WEEKDAY($B30)=1,0,2)))</f>
        <v>2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46318</v>
      </c>
      <c r="C31" s="157">
        <f t="shared" si="0"/>
        <v>46318</v>
      </c>
      <c r="D31" s="352">
        <f>IF(VLOOKUP($B31,Datenblatt!$A$43:$A$65,1,1)=$B31,0,VLOOKUP(WEEKDAY($B31),Datenblatt!$R$46:$T$52,3,FALSE))</f>
        <v>6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46319</v>
      </c>
      <c r="C32" s="157">
        <f t="shared" si="0"/>
        <v>46319</v>
      </c>
      <c r="D32" s="352">
        <f>IF(VLOOKUP($B32,Datenblatt!$A$43:$A$65,1,1)=$B32,0,VLOOKUP(WEEKDAY($B32),Datenblatt!$R$46:$T$52,3,FALSE))</f>
        <v>0</v>
      </c>
      <c r="E32" s="352">
        <f>IF(VLOOKUP($B32,Datenblatt!$A$43:$A$65,1,1)=$B32,0,IF(WEEKDAY($B32)=7,1,IF(WEEKDAY($B32)=1,0,2)))</f>
        <v>1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46320</v>
      </c>
      <c r="C33" s="157">
        <f t="shared" si="0"/>
        <v>46320</v>
      </c>
      <c r="D33" s="352">
        <f>IF(VLOOKUP($B33,Datenblatt!$A$43:$A$65,1,1)=$B33,0,VLOOKUP(WEEKDAY($B33),Datenblatt!$R$46:$T$52,3,FALSE))</f>
        <v>0</v>
      </c>
      <c r="E33" s="352">
        <f>IF(VLOOKUP($B33,Datenblatt!$A$43:$A$65,1,1)=$B33,0,IF(WEEKDAY($B33)=7,1,IF(WEEKDAY($B33)=1,0,2)))</f>
        <v>0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46321</v>
      </c>
      <c r="C34" s="157">
        <f t="shared" si="0"/>
        <v>46321</v>
      </c>
      <c r="D34" s="352">
        <f>IF(VLOOKUP($B34,Datenblatt!$A$43:$A$65,1,1)=$B34,0,VLOOKUP(WEEKDAY($B34),Datenblatt!$R$46:$T$52,3,FALSE))</f>
        <v>0</v>
      </c>
      <c r="E34" s="352">
        <f>IF(VLOOKUP($B34,Datenblatt!$A$43:$A$65,1,1)=$B34,0,IF(WEEKDAY($B34)=7,1,IF(WEEKDAY($B34)=1,0,2)))</f>
        <v>0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>Nationalfeiertag</v>
      </c>
      <c r="W34" s="413"/>
      <c r="X34" s="414"/>
      <c r="AA34" s="173"/>
    </row>
    <row r="35" spans="2:128" ht="12.2" customHeight="1">
      <c r="B35" s="156">
        <f t="shared" si="4"/>
        <v>46322</v>
      </c>
      <c r="C35" s="157">
        <f t="shared" si="0"/>
        <v>46322</v>
      </c>
      <c r="D35" s="352">
        <f>IF(VLOOKUP($B35,Datenblatt!$A$43:$A$65,1,1)=$B35,0,VLOOKUP(WEEKDAY($B35),Datenblatt!$R$46:$T$52,3,FALSE))</f>
        <v>8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46323</v>
      </c>
      <c r="C36" s="157">
        <f t="shared" si="0"/>
        <v>46323</v>
      </c>
      <c r="D36" s="352">
        <f>IF(VLOOKUP($B36,Datenblatt!$A$43:$A$65,1,1)=$B36,0,VLOOKUP(WEEKDAY($B36),Datenblatt!$R$46:$T$52,3,FALSE))</f>
        <v>8</v>
      </c>
      <c r="E36" s="352">
        <f>IF(VLOOKUP($B36,Datenblatt!$A$43:$A$65,1,1)=$B36,0,IF(WEEKDAY($B36)=7,1,IF(WEEKDAY($B36)=1,0,2)))</f>
        <v>2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46324</v>
      </c>
      <c r="C37" s="157">
        <f t="shared" si="0"/>
        <v>46324</v>
      </c>
      <c r="D37" s="352">
        <f>IF(VLOOKUP($B37,Datenblatt!$A$43:$A$65,1,1)=$B37,0,VLOOKUP(WEEKDAY($B37),Datenblatt!$R$46:$T$52,3,FALSE))</f>
        <v>8</v>
      </c>
      <c r="E37" s="352">
        <f>IF(VLOOKUP($B37,Datenblatt!$A$43:$A$65,1,1)=$B37,0,IF(WEEKDAY($B37)=7,1,IF(WEEKDAY($B37)=1,0,2)))</f>
        <v>2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46325</v>
      </c>
      <c r="C38" s="157">
        <f t="shared" si="0"/>
        <v>46325</v>
      </c>
      <c r="D38" s="352">
        <f>IF(VLOOKUP($B38,Datenblatt!$A$43:$A$65,1,1)=$B38,0,VLOOKUP(WEEKDAY($B38),Datenblatt!$R$46:$T$52,3,FALSE))</f>
        <v>6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>
        <f t="shared" si="4"/>
        <v>46326</v>
      </c>
      <c r="C39" s="157">
        <f t="shared" si="0"/>
        <v>46326</v>
      </c>
      <c r="D39" s="352">
        <f>IF(VLOOKUP($B39,Datenblatt!$A$43:$A$65,1,1)=$B39,0,VLOOKUP(WEEKDAY($B39),Datenblatt!$R$46:$T$52,3,FALSE))</f>
        <v>0</v>
      </c>
      <c r="E39" s="352">
        <f>IF(VLOOKUP($B39,Datenblatt!$A$43:$A$65,1,1)=$B39,0,IF(WEEKDAY($B39)=7,1,IF(WEEKDAY($B39)=1,0,2)))</f>
        <v>1</v>
      </c>
      <c r="F39" s="353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1"/>
        <v/>
      </c>
      <c r="S39" s="168" t="str">
        <f t="shared" si="2"/>
        <v/>
      </c>
      <c r="T39" s="169" t="str">
        <f t="shared" si="3"/>
        <v/>
      </c>
      <c r="U39" s="170"/>
      <c r="V39" s="415" t="str">
        <f>IF(VLOOKUP($B39,Datenblatt!$A$43:$A$66,1,1)=$B39,VLOOKUP($B39,Datenblatt!$A$43:$C$66,3,FALSE)," ")</f>
        <v xml:space="preserve"> </v>
      </c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Oktober "&amp;Datenblatt!$F$5&amp;":"</f>
        <v>Sollstunden für Oktober 2026:</v>
      </c>
      <c r="N41" s="66"/>
      <c r="O41" s="66"/>
      <c r="P41" s="186"/>
      <c r="R41" s="187"/>
      <c r="S41" s="403">
        <f>SUM(D9:D39)</f>
        <v>158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Oktober "&amp;Datenblatt!F5&amp;":   ","Zeitdefizit im Monat Oktober "&amp;Datenblatt!F5&amp;":   ")</f>
        <v xml:space="preserve">Zeitdefizit im Monat Oktober 2026:   </v>
      </c>
      <c r="N42" s="189"/>
      <c r="O42" s="189"/>
      <c r="R42" s="190"/>
      <c r="S42" s="397">
        <f>T40-SUM(D9:D39)</f>
        <v>-158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September "&amp;Datenblatt!F5&amp;":   ","  - Zeitdefizit aus September "&amp;Datenblatt!F5&amp;":   ")</f>
        <v xml:space="preserve">  - Zeitdefizit aus September 2026:   </v>
      </c>
      <c r="S43" s="398">
        <f>Sept!S45</f>
        <v>-1422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November "&amp;Datenblatt!F5</f>
        <v>Übertrag für November 2026</v>
      </c>
      <c r="R44" s="195"/>
      <c r="S44" s="399">
        <f>S43+S42-I42</f>
        <v>-1580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389" priority="1" stopIfTrue="1" operator="equal">
      <formula>MATCH($E15,0)</formula>
    </cfRule>
    <cfRule type="expression" dxfId="1388" priority="2" stopIfTrue="1">
      <formula>"WOCHENTAG($B8)=1"</formula>
    </cfRule>
    <cfRule type="expression" dxfId="1387" priority="3" stopIfTrue="1">
      <formula>"WOCHENTAG($B8)=7"</formula>
    </cfRule>
  </conditionalFormatting>
  <conditionalFormatting sqref="B9:C9">
    <cfRule type="expression" dxfId="1386" priority="68" stopIfTrue="1">
      <formula>($E$9=1)</formula>
    </cfRule>
  </conditionalFormatting>
  <conditionalFormatting sqref="B10:C10">
    <cfRule type="expression" dxfId="1385" priority="71" stopIfTrue="1">
      <formula>($E$10=1)</formula>
    </cfRule>
  </conditionalFormatting>
  <conditionalFormatting sqref="B11:C11">
    <cfRule type="expression" dxfId="1384" priority="74" stopIfTrue="1">
      <formula>($E$11=1)</formula>
    </cfRule>
  </conditionalFormatting>
  <conditionalFormatting sqref="B12:C12">
    <cfRule type="expression" dxfId="1383" priority="77" stopIfTrue="1">
      <formula>($E$12=1)</formula>
    </cfRule>
  </conditionalFormatting>
  <conditionalFormatting sqref="B13:C13">
    <cfRule type="expression" dxfId="1382" priority="80" stopIfTrue="1">
      <formula>($E$13=1)</formula>
    </cfRule>
  </conditionalFormatting>
  <conditionalFormatting sqref="B14:C14">
    <cfRule type="expression" dxfId="1381" priority="83" stopIfTrue="1">
      <formula>($E$14=1)</formula>
    </cfRule>
  </conditionalFormatting>
  <conditionalFormatting sqref="B15:C15">
    <cfRule type="expression" dxfId="1380" priority="86" stopIfTrue="1">
      <formula>($E$15=1)</formula>
    </cfRule>
  </conditionalFormatting>
  <conditionalFormatting sqref="B16:C16">
    <cfRule type="expression" dxfId="1379" priority="89" stopIfTrue="1">
      <formula>($E$16=1)</formula>
    </cfRule>
  </conditionalFormatting>
  <conditionalFormatting sqref="B17:C17">
    <cfRule type="expression" dxfId="1378" priority="92" stopIfTrue="1">
      <formula>($E$17=1)</formula>
    </cfRule>
  </conditionalFormatting>
  <conditionalFormatting sqref="B18:C18">
    <cfRule type="expression" dxfId="1377" priority="95" stopIfTrue="1">
      <formula>($E$18=1)</formula>
    </cfRule>
  </conditionalFormatting>
  <conditionalFormatting sqref="B19:C19">
    <cfRule type="expression" dxfId="1376" priority="98" stopIfTrue="1">
      <formula>($E$19=1)</formula>
    </cfRule>
  </conditionalFormatting>
  <conditionalFormatting sqref="B20:C20">
    <cfRule type="expression" dxfId="1375" priority="101" stopIfTrue="1">
      <formula>($E$20=1)</formula>
    </cfRule>
  </conditionalFormatting>
  <conditionalFormatting sqref="B21:C21">
    <cfRule type="expression" dxfId="1374" priority="104" stopIfTrue="1">
      <formula>($E$21=1)</formula>
    </cfRule>
  </conditionalFormatting>
  <conditionalFormatting sqref="B22:C22">
    <cfRule type="expression" dxfId="1373" priority="107" stopIfTrue="1">
      <formula>($E$22=1)</formula>
    </cfRule>
  </conditionalFormatting>
  <conditionalFormatting sqref="B23:C23">
    <cfRule type="expression" dxfId="1372" priority="110" stopIfTrue="1">
      <formula>($E$23=1)</formula>
    </cfRule>
  </conditionalFormatting>
  <conditionalFormatting sqref="B24:C24">
    <cfRule type="expression" dxfId="1371" priority="113" stopIfTrue="1">
      <formula>($E$24=1)</formula>
    </cfRule>
  </conditionalFormatting>
  <conditionalFormatting sqref="B25:C25">
    <cfRule type="expression" dxfId="1370" priority="116" stopIfTrue="1">
      <formula>($E$25=1)</formula>
    </cfRule>
  </conditionalFormatting>
  <conditionalFormatting sqref="B26:C26">
    <cfRule type="expression" dxfId="1369" priority="119" stopIfTrue="1">
      <formula>($E$26=1)</formula>
    </cfRule>
  </conditionalFormatting>
  <conditionalFormatting sqref="B27:C27">
    <cfRule type="expression" dxfId="1368" priority="122" stopIfTrue="1">
      <formula>($E$27=1)</formula>
    </cfRule>
  </conditionalFormatting>
  <conditionalFormatting sqref="B28:C28">
    <cfRule type="expression" dxfId="1367" priority="125" stopIfTrue="1">
      <formula>($E$28=1)</formula>
    </cfRule>
  </conditionalFormatting>
  <conditionalFormatting sqref="B29:C29">
    <cfRule type="expression" dxfId="1366" priority="128" stopIfTrue="1">
      <formula>($E$29=1)</formula>
    </cfRule>
  </conditionalFormatting>
  <conditionalFormatting sqref="B30:C30">
    <cfRule type="expression" dxfId="1365" priority="131" stopIfTrue="1">
      <formula>($E$30=1)</formula>
    </cfRule>
  </conditionalFormatting>
  <conditionalFormatting sqref="B31:C31">
    <cfRule type="expression" dxfId="1364" priority="134" stopIfTrue="1">
      <formula>($E$31=1)</formula>
    </cfRule>
  </conditionalFormatting>
  <conditionalFormatting sqref="B32:C32">
    <cfRule type="expression" dxfId="1363" priority="137" stopIfTrue="1">
      <formula>($E$32=1)</formula>
    </cfRule>
  </conditionalFormatting>
  <conditionalFormatting sqref="B33:C33">
    <cfRule type="expression" dxfId="1362" priority="140" stopIfTrue="1">
      <formula>($E$33=1)</formula>
    </cfRule>
  </conditionalFormatting>
  <conditionalFormatting sqref="B34:C34">
    <cfRule type="expression" dxfId="1361" priority="143" stopIfTrue="1">
      <formula>($E$34=1)</formula>
    </cfRule>
  </conditionalFormatting>
  <conditionalFormatting sqref="B35:C35">
    <cfRule type="expression" dxfId="1360" priority="146" stopIfTrue="1">
      <formula>($E$35=1)</formula>
    </cfRule>
  </conditionalFormatting>
  <conditionalFormatting sqref="B36:C36">
    <cfRule type="expression" dxfId="1359" priority="149" stopIfTrue="1">
      <formula>($E$36=1)</formula>
    </cfRule>
  </conditionalFormatting>
  <conditionalFormatting sqref="B37:C37">
    <cfRule type="expression" dxfId="1358" priority="152" stopIfTrue="1">
      <formula>($E$37=1)</formula>
    </cfRule>
  </conditionalFormatting>
  <conditionalFormatting sqref="B38:C38">
    <cfRule type="expression" dxfId="1357" priority="155" stopIfTrue="1">
      <formula>($E$38=1)</formula>
    </cfRule>
  </conditionalFormatting>
  <conditionalFormatting sqref="B39:C39">
    <cfRule type="expression" dxfId="1356" priority="158" stopIfTrue="1">
      <formula>($E$39=1)</formula>
    </cfRule>
  </conditionalFormatting>
  <conditionalFormatting sqref="B9:T9 V9">
    <cfRule type="expression" dxfId="1355" priority="5" stopIfTrue="1">
      <formula>($D$9="Ersatzruhetag")</formula>
    </cfRule>
    <cfRule type="expression" dxfId="1354" priority="4" stopIfTrue="1">
      <formula>($E$9=0)</formula>
    </cfRule>
  </conditionalFormatting>
  <conditionalFormatting sqref="B10:T10 V10">
    <cfRule type="expression" dxfId="1353" priority="7" stopIfTrue="1">
      <formula>($D$10="Ersatzruhetag")</formula>
    </cfRule>
    <cfRule type="expression" dxfId="1352" priority="6" stopIfTrue="1">
      <formula>($E$10=0)</formula>
    </cfRule>
  </conditionalFormatting>
  <conditionalFormatting sqref="B11:T11 V11">
    <cfRule type="expression" dxfId="1351" priority="9" stopIfTrue="1">
      <formula>($D$11="Ersatzruhetag")</formula>
    </cfRule>
    <cfRule type="expression" dxfId="1350" priority="8" stopIfTrue="1">
      <formula>($E$11=0)</formula>
    </cfRule>
  </conditionalFormatting>
  <conditionalFormatting sqref="B12:T12 V12">
    <cfRule type="expression" dxfId="1349" priority="11" stopIfTrue="1">
      <formula>($D$12="Ersatzruhetag")</formula>
    </cfRule>
    <cfRule type="expression" dxfId="1348" priority="10" stopIfTrue="1">
      <formula>($E$12=0)</formula>
    </cfRule>
  </conditionalFormatting>
  <conditionalFormatting sqref="B13:T13 V13">
    <cfRule type="expression" dxfId="1347" priority="12" stopIfTrue="1">
      <formula>($E$13=0)</formula>
    </cfRule>
    <cfRule type="expression" dxfId="1346" priority="13" stopIfTrue="1">
      <formula>($D$13="Ersatzruhetag")</formula>
    </cfRule>
  </conditionalFormatting>
  <conditionalFormatting sqref="B14:T14 V14">
    <cfRule type="expression" dxfId="1345" priority="14" stopIfTrue="1">
      <formula>($E$14=0)</formula>
    </cfRule>
    <cfRule type="expression" dxfId="1344" priority="15" stopIfTrue="1">
      <formula>($D$14="Ersatzruhetag")</formula>
    </cfRule>
  </conditionalFormatting>
  <conditionalFormatting sqref="B15:T15 V15">
    <cfRule type="expression" dxfId="1343" priority="16" stopIfTrue="1">
      <formula>($E$15=0)</formula>
    </cfRule>
    <cfRule type="expression" dxfId="1342" priority="17" stopIfTrue="1">
      <formula>($D$15="Ersatzruhetag")</formula>
    </cfRule>
  </conditionalFormatting>
  <conditionalFormatting sqref="B16:T16 V16">
    <cfRule type="expression" dxfId="1341" priority="18" stopIfTrue="1">
      <formula>($E$16=0)</formula>
    </cfRule>
    <cfRule type="expression" dxfId="1340" priority="19" stopIfTrue="1">
      <formula>($D$16="Ersatzruhetag")</formula>
    </cfRule>
  </conditionalFormatting>
  <conditionalFormatting sqref="B17:T17 V17">
    <cfRule type="expression" dxfId="1339" priority="21" stopIfTrue="1">
      <formula>($D$17="Ersatzruhetag")</formula>
    </cfRule>
    <cfRule type="expression" dxfId="1338" priority="20" stopIfTrue="1">
      <formula>($E$17=0)</formula>
    </cfRule>
  </conditionalFormatting>
  <conditionalFormatting sqref="B18:T18 V18">
    <cfRule type="expression" dxfId="1337" priority="22" stopIfTrue="1">
      <formula>($E$18=0)</formula>
    </cfRule>
    <cfRule type="expression" dxfId="1336" priority="23" stopIfTrue="1">
      <formula>($D$18="Ersatzruhetag")</formula>
    </cfRule>
  </conditionalFormatting>
  <conditionalFormatting sqref="B19:T19 V19">
    <cfRule type="expression" dxfId="1335" priority="25" stopIfTrue="1">
      <formula>($D$19="Ersatzruhetag")</formula>
    </cfRule>
    <cfRule type="expression" dxfId="1334" priority="24" stopIfTrue="1">
      <formula>($E$19=0)</formula>
    </cfRule>
  </conditionalFormatting>
  <conditionalFormatting sqref="B20:T20 V20">
    <cfRule type="expression" dxfId="1333" priority="26" stopIfTrue="1">
      <formula>($E$20=0)</formula>
    </cfRule>
    <cfRule type="expression" dxfId="1332" priority="27" stopIfTrue="1">
      <formula>($D$20="Ersatzruhetag")</formula>
    </cfRule>
  </conditionalFormatting>
  <conditionalFormatting sqref="B21:T21 V21">
    <cfRule type="expression" dxfId="1331" priority="28" stopIfTrue="1">
      <formula>($E$21=0)</formula>
    </cfRule>
    <cfRule type="expression" dxfId="1330" priority="29" stopIfTrue="1">
      <formula>($D$21="Ersatzruhetag")</formula>
    </cfRule>
  </conditionalFormatting>
  <conditionalFormatting sqref="B22:T22 V22">
    <cfRule type="expression" dxfId="1329" priority="30" stopIfTrue="1">
      <formula>($E$22=0)</formula>
    </cfRule>
    <cfRule type="expression" dxfId="1328" priority="31" stopIfTrue="1">
      <formula>($D$22="Ersatzruhetag")</formula>
    </cfRule>
  </conditionalFormatting>
  <conditionalFormatting sqref="B23:T23 V23">
    <cfRule type="expression" dxfId="1327" priority="32" stopIfTrue="1">
      <formula>($E$23=0)</formula>
    </cfRule>
    <cfRule type="expression" dxfId="1326" priority="33" stopIfTrue="1">
      <formula>($D$23="Ersatzruhetag")</formula>
    </cfRule>
  </conditionalFormatting>
  <conditionalFormatting sqref="B24:T24 V24">
    <cfRule type="expression" dxfId="1325" priority="34" stopIfTrue="1">
      <formula>($E$24=0)</formula>
    </cfRule>
    <cfRule type="expression" dxfId="1324" priority="35" stopIfTrue="1">
      <formula>($D$24="Ersatzruhetag")</formula>
    </cfRule>
  </conditionalFormatting>
  <conditionalFormatting sqref="B25:T25 V25">
    <cfRule type="expression" dxfId="1323" priority="37" stopIfTrue="1">
      <formula>($D$25="Ersatzruhetag")</formula>
    </cfRule>
    <cfRule type="expression" dxfId="1322" priority="36" stopIfTrue="1">
      <formula>($E$25=0)</formula>
    </cfRule>
  </conditionalFormatting>
  <conditionalFormatting sqref="B26:T26 V26">
    <cfRule type="expression" dxfId="1321" priority="38" stopIfTrue="1">
      <formula>($E$26=0)</formula>
    </cfRule>
    <cfRule type="expression" dxfId="1320" priority="39" stopIfTrue="1">
      <formula>($D$26="Ersatzruhetag")</formula>
    </cfRule>
  </conditionalFormatting>
  <conditionalFormatting sqref="B27:T27 V27">
    <cfRule type="expression" dxfId="1319" priority="40" stopIfTrue="1">
      <formula>($E$27=0)</formula>
    </cfRule>
    <cfRule type="expression" dxfId="1318" priority="41" stopIfTrue="1">
      <formula>($D$27="Ersatzruhetag")</formula>
    </cfRule>
  </conditionalFormatting>
  <conditionalFormatting sqref="B28:T28 V28">
    <cfRule type="expression" dxfId="1317" priority="43" stopIfTrue="1">
      <formula>($D$28="Ersatzruhetag")</formula>
    </cfRule>
    <cfRule type="expression" dxfId="1316" priority="42" stopIfTrue="1">
      <formula>($E$28=0)</formula>
    </cfRule>
  </conditionalFormatting>
  <conditionalFormatting sqref="B29:T29 V29">
    <cfRule type="expression" dxfId="1315" priority="44" stopIfTrue="1">
      <formula>($E$29=0)</formula>
    </cfRule>
    <cfRule type="expression" dxfId="1314" priority="45" stopIfTrue="1">
      <formula>($D$29="Ersatzruhetag")</formula>
    </cfRule>
  </conditionalFormatting>
  <conditionalFormatting sqref="B30:T30 V30">
    <cfRule type="expression" dxfId="1313" priority="46" stopIfTrue="1">
      <formula>($E$30=0)</formula>
    </cfRule>
    <cfRule type="expression" dxfId="1312" priority="47" stopIfTrue="1">
      <formula>($D$30="Ersatzruhetag")</formula>
    </cfRule>
  </conditionalFormatting>
  <conditionalFormatting sqref="B31:T31 V31">
    <cfRule type="expression" dxfId="1311" priority="48" stopIfTrue="1">
      <formula>($E$31=0)</formula>
    </cfRule>
    <cfRule type="expression" dxfId="1310" priority="49" stopIfTrue="1">
      <formula>($D$31="Ersatzruhetag")</formula>
    </cfRule>
  </conditionalFormatting>
  <conditionalFormatting sqref="B32:T32 V32">
    <cfRule type="expression" dxfId="1309" priority="51" stopIfTrue="1">
      <formula>($D$32="Ersatzruhetag")</formula>
    </cfRule>
    <cfRule type="expression" dxfId="1308" priority="50" stopIfTrue="1">
      <formula>($E$32=0)</formula>
    </cfRule>
  </conditionalFormatting>
  <conditionalFormatting sqref="B33:T33 V33">
    <cfRule type="expression" dxfId="1307" priority="53" stopIfTrue="1">
      <formula>($D$33="Ersatzruhetag")</formula>
    </cfRule>
    <cfRule type="expression" dxfId="1306" priority="52" stopIfTrue="1">
      <formula>($E$33=0)</formula>
    </cfRule>
  </conditionalFormatting>
  <conditionalFormatting sqref="B34:T34 V34">
    <cfRule type="expression" dxfId="1305" priority="55" stopIfTrue="1">
      <formula>($D$34="Ersatzruhetag")</formula>
    </cfRule>
    <cfRule type="expression" dxfId="1304" priority="54" stopIfTrue="1">
      <formula>($E$34=0)</formula>
    </cfRule>
  </conditionalFormatting>
  <conditionalFormatting sqref="B35:T35 V35">
    <cfRule type="expression" dxfId="1303" priority="57" stopIfTrue="1">
      <formula>($D$35="Ersatzruhetag")</formula>
    </cfRule>
    <cfRule type="expression" dxfId="1302" priority="56" stopIfTrue="1">
      <formula>($E$35=0)</formula>
    </cfRule>
  </conditionalFormatting>
  <conditionalFormatting sqref="B36:T36 V36">
    <cfRule type="expression" dxfId="1301" priority="59" stopIfTrue="1">
      <formula>($D$36="Ersatzruhetag")</formula>
    </cfRule>
    <cfRule type="expression" dxfId="1300" priority="58" stopIfTrue="1">
      <formula>($E$36=0)</formula>
    </cfRule>
  </conditionalFormatting>
  <conditionalFormatting sqref="B37:T37 V37">
    <cfRule type="expression" dxfId="1299" priority="61" stopIfTrue="1">
      <formula>($D$37="Ersatzruhetag")</formula>
    </cfRule>
    <cfRule type="expression" dxfId="1298" priority="60" stopIfTrue="1">
      <formula>($E$37=0)</formula>
    </cfRule>
  </conditionalFormatting>
  <conditionalFormatting sqref="B38:T38 V38">
    <cfRule type="expression" dxfId="1297" priority="63" stopIfTrue="1">
      <formula>($D$38="Ersatzruhetag")</formula>
    </cfRule>
    <cfRule type="expression" dxfId="1296" priority="62" stopIfTrue="1">
      <formula>($E$38=0)</formula>
    </cfRule>
  </conditionalFormatting>
  <conditionalFormatting sqref="B39:T39 V39">
    <cfRule type="expression" dxfId="1295" priority="65" stopIfTrue="1">
      <formula>($D$39="Ersatzruhetag")</formula>
    </cfRule>
    <cfRule type="expression" dxfId="1294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9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P17" sqref="P17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0.140625" style="94" hidden="1" customWidth="1"/>
    <col min="5" max="5" width="7.140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DATE(Datenblatt!F5,11,1)</f>
        <v>46327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"&amp;Datenblatt!$W$46&amp;";"&amp;"    Di: "&amp;Datenblatt!$W$47&amp;";"&amp;"    Mi: "&amp;Datenblatt!$W$48&amp;";"&amp;"    Do: "&amp;Datenblatt!$W$49&amp;";"&amp;"    Fr: "&amp;Datenblatt!$W$50&amp;";"&amp;"    Sa: "&amp;Datenblatt!$W$51&amp;";"&amp;"    So: "&amp;Datenblatt!$W$52&amp;""&amp;"     -    Wochenarbeitszeit:  "&amp;Datenblatt!$W$53&amp;"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Okt!T5+Datenblatt!W54</f>
        <v>190</v>
      </c>
      <c r="U4" s="405"/>
      <c r="V4" s="141"/>
      <c r="W4" s="142" t="str">
        <f>"Urlaubsanspruch per 01.11."&amp;Datenblatt!$F$5</f>
        <v>Urlaubsanspruch per 01.11.2026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"&amp;IF(Datenblatt!W55=1,Datenblatt!D34,IF(Datenblatt!W55=2,Datenblatt!D35,IF(Datenblatt!W55=3,Datenblatt!D36,IF(Datenblatt!W55=4,Datenblatt!D37))))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190</v>
      </c>
      <c r="U5" s="405"/>
      <c r="V5" s="141"/>
      <c r="W5" s="143" t="str">
        <f>"Resturlaub per 30.11."&amp;Datenblatt!$F$5</f>
        <v>Resturlaub per 30.11.2026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46327</v>
      </c>
      <c r="C9" s="157">
        <f t="shared" ref="C9:C38" si="0">B9</f>
        <v>46327</v>
      </c>
      <c r="D9" s="350">
        <f>IF(VLOOKUP($B9,Datenblatt!$A$43:$A$65,1,1)=$B9,0,VLOOKUP(WEEKDAY($B9),Datenblatt!$U$46:$W$52,3,FALSE))</f>
        <v>0</v>
      </c>
      <c r="E9" s="350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>Allerheiligen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8" si="4">B9+1</f>
        <v>46328</v>
      </c>
      <c r="C10" s="157">
        <f t="shared" si="0"/>
        <v>46328</v>
      </c>
      <c r="D10" s="351">
        <f>IF(VLOOKUP($B10,Datenblatt!$A$43:$A$65,1,1)=$B10,0,VLOOKUP(WEEKDAY($B10),Datenblatt!$U$46:$W$52,3,FALSE))</f>
        <v>0</v>
      </c>
      <c r="E10" s="351">
        <f>IF(VLOOKUP($B10,Datenblatt!$A$43:$A$65,1,1)=$B10,0,IF(WEEKDAY($B10)=7,1,IF(WEEKDAY($B10)=1,0,2)))</f>
        <v>0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>Allerseelen</v>
      </c>
      <c r="W10" s="413"/>
      <c r="X10" s="414"/>
    </row>
    <row r="11" spans="2:128" ht="12.2" customHeight="1">
      <c r="B11" s="156">
        <f t="shared" si="4"/>
        <v>46329</v>
      </c>
      <c r="C11" s="157">
        <f t="shared" si="0"/>
        <v>46329</v>
      </c>
      <c r="D11" s="352">
        <f>IF(VLOOKUP($B11,Datenblatt!$A$43:$A$65,1,1)=$B11,0,VLOOKUP(WEEKDAY($B11),Datenblatt!$U$46:$W$52,3,FALSE))</f>
        <v>8</v>
      </c>
      <c r="E11" s="352">
        <f>IF(VLOOKUP($B11,Datenblatt!$A$43:$A$65,1,1)=$B11,0,IF(WEEKDAY($B11)=7,1,IF(WEEKDAY($B11)=1,0,2)))</f>
        <v>2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46330</v>
      </c>
      <c r="C12" s="157">
        <f t="shared" si="0"/>
        <v>46330</v>
      </c>
      <c r="D12" s="352">
        <f>IF(VLOOKUP($B12,Datenblatt!$A$43:$A$65,1,1)=$B12,0,VLOOKUP(WEEKDAY($B12),Datenblatt!$U$46:$W$52,3,FALSE))</f>
        <v>8</v>
      </c>
      <c r="E12" s="352">
        <f>IF(VLOOKUP($B12,Datenblatt!$A$43:$A$65,1,1)=$B12,0,IF(WEEKDAY($B12)=7,1,IF(WEEKDAY($B12)=1,0,2)))</f>
        <v>2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46331</v>
      </c>
      <c r="C13" s="157">
        <f t="shared" si="0"/>
        <v>46331</v>
      </c>
      <c r="D13" s="352">
        <f>IF(VLOOKUP($B13,Datenblatt!$A$43:$A$65,1,1)=$B13,0,VLOOKUP(WEEKDAY($B13),Datenblatt!$U$46:$W$52,3,FALSE))</f>
        <v>8</v>
      </c>
      <c r="E13" s="352">
        <f>IF(VLOOKUP($B13,Datenblatt!$A$43:$A$65,1,1)=$B13,0,IF(WEEKDAY($B13)=7,1,IF(WEEKDAY($B13)=1,0,2)))</f>
        <v>2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46332</v>
      </c>
      <c r="C14" s="157">
        <f t="shared" si="0"/>
        <v>46332</v>
      </c>
      <c r="D14" s="352">
        <f>IF(VLOOKUP($B14,Datenblatt!$A$43:$A$65,1,1)=$B14,0,VLOOKUP(WEEKDAY($B14),Datenblatt!$U$46:$W$52,3,FALSE))</f>
        <v>6</v>
      </c>
      <c r="E14" s="352">
        <f>IF(VLOOKUP($B14,Datenblatt!$A$43:$A$65,1,1)=$B14,0,IF(WEEKDAY($B14)=7,1,IF(WEEKDAY($B14)=1,0,2)))</f>
        <v>2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46333</v>
      </c>
      <c r="C15" s="157">
        <f t="shared" si="0"/>
        <v>46333</v>
      </c>
      <c r="D15" s="352">
        <f>IF(VLOOKUP($B15,Datenblatt!$A$43:$A$65,1,1)=$B15,0,VLOOKUP(WEEKDAY($B15),Datenblatt!$U$46:$W$52,3,FALSE))</f>
        <v>0</v>
      </c>
      <c r="E15" s="352">
        <f>IF(VLOOKUP($B15,Datenblatt!$A$43:$A$65,1,1)=$B15,0,IF(WEEKDAY($B15)=7,1,IF(WEEKDAY($B15)=1,0,2)))</f>
        <v>1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46334</v>
      </c>
      <c r="C16" s="157">
        <f t="shared" si="0"/>
        <v>46334</v>
      </c>
      <c r="D16" s="352">
        <f>IF(VLOOKUP($B16,Datenblatt!$A$43:$A$65,1,1)=$B16,0,VLOOKUP(WEEKDAY($B16),Datenblatt!$U$46:$W$52,3,FALSE))</f>
        <v>0</v>
      </c>
      <c r="E16" s="352">
        <f>IF(VLOOKUP($B16,Datenblatt!$A$43:$A$65,1,1)=$B16,0,IF(WEEKDAY($B16)=7,1,IF(WEEKDAY($B16)=1,0,2)))</f>
        <v>0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46335</v>
      </c>
      <c r="C17" s="157">
        <f t="shared" si="0"/>
        <v>46335</v>
      </c>
      <c r="D17" s="352">
        <f>IF(VLOOKUP($B17,Datenblatt!$A$43:$A$65,1,1)=$B17,0,VLOOKUP(WEEKDAY($B17),Datenblatt!$U$46:$W$52,3,FALSE))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46336</v>
      </c>
      <c r="C18" s="157">
        <f t="shared" si="0"/>
        <v>46336</v>
      </c>
      <c r="D18" s="352">
        <f>IF(VLOOKUP($B18,Datenblatt!$A$43:$A$65,1,1)=$B18,0,VLOOKUP(WEEKDAY($B18),Datenblatt!$U$46:$W$52,3,FALSE))</f>
        <v>8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46337</v>
      </c>
      <c r="C19" s="157">
        <f t="shared" si="0"/>
        <v>46337</v>
      </c>
      <c r="D19" s="352">
        <f>IF(VLOOKUP($B19,Datenblatt!$A$43:$A$65,1,1)=$B19,0,VLOOKUP(WEEKDAY($B19),Datenblatt!$U$46:$W$52,3,FALSE))</f>
        <v>8</v>
      </c>
      <c r="E19" s="352">
        <f>IF(VLOOKUP($B19,Datenblatt!$A$43:$A$65,1,1)=$B19,0,IF(WEEKDAY($B19)=7,1,IF(WEEKDAY($B19)=1,0,2)))</f>
        <v>2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46338</v>
      </c>
      <c r="C20" s="157">
        <f t="shared" si="0"/>
        <v>46338</v>
      </c>
      <c r="D20" s="352">
        <f>IF(VLOOKUP($B20,Datenblatt!$A$43:$A$65,1,1)=$B20,0,VLOOKUP(WEEKDAY($B20),Datenblatt!$U$46:$W$52,3,FALSE))</f>
        <v>8</v>
      </c>
      <c r="E20" s="352">
        <f>IF(VLOOKUP($B20,Datenblatt!$A$43:$A$65,1,1)=$B20,0,IF(WEEKDAY($B20)=7,1,IF(WEEKDAY($B20)=1,0,2)))</f>
        <v>2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46339</v>
      </c>
      <c r="C21" s="157">
        <f t="shared" si="0"/>
        <v>46339</v>
      </c>
      <c r="D21" s="352">
        <f>IF(VLOOKUP($B21,Datenblatt!$A$43:$A$65,1,1)=$B21,0,VLOOKUP(WEEKDAY($B21),Datenblatt!$U$46:$W$52,3,FALSE))</f>
        <v>6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46340</v>
      </c>
      <c r="C22" s="157">
        <f t="shared" si="0"/>
        <v>46340</v>
      </c>
      <c r="D22" s="352">
        <f>IF(VLOOKUP($B22,Datenblatt!$A$43:$A$65,1,1)=$B22,0,VLOOKUP(WEEKDAY($B22),Datenblatt!$U$46:$W$52,3,FALSE))</f>
        <v>0</v>
      </c>
      <c r="E22" s="352">
        <f>IF(VLOOKUP($B22,Datenblatt!$A$43:$A$65,1,1)=$B22,0,IF(WEEKDAY($B22)=7,1,IF(WEEKDAY($B22)=1,0,2)))</f>
        <v>1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46341</v>
      </c>
      <c r="C23" s="157">
        <f t="shared" si="0"/>
        <v>46341</v>
      </c>
      <c r="D23" s="352">
        <f>IF(VLOOKUP($B23,Datenblatt!$A$43:$A$65,1,1)=$B23,0,VLOOKUP(WEEKDAY($B23),Datenblatt!$U$46:$W$52,3,FALSE))</f>
        <v>0</v>
      </c>
      <c r="E23" s="352">
        <f>IF(VLOOKUP($B23,Datenblatt!$A$43:$A$65,1,1)=$B23,0,IF(WEEKDAY($B23)=7,1,IF(WEEKDAY($B23)=1,0,2)))</f>
        <v>0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46342</v>
      </c>
      <c r="C24" s="157">
        <f t="shared" si="0"/>
        <v>46342</v>
      </c>
      <c r="D24" s="352">
        <f>IF(VLOOKUP($B24,Datenblatt!$A$43:$A$65,1,1)=$B24,0,VLOOKUP(WEEKDAY($B24),Datenblatt!$U$46:$W$52,3,FALSE))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46343</v>
      </c>
      <c r="C25" s="157">
        <f t="shared" si="0"/>
        <v>46343</v>
      </c>
      <c r="D25" s="352">
        <f>IF(VLOOKUP($B25,Datenblatt!$A$43:$A$65,1,1)=$B25,0,VLOOKUP(WEEKDAY($B25),Datenblatt!$U$46:$W$52,3,FALSE))</f>
        <v>8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46344</v>
      </c>
      <c r="C26" s="157">
        <f t="shared" si="0"/>
        <v>46344</v>
      </c>
      <c r="D26" s="352">
        <f>IF(VLOOKUP($B26,Datenblatt!$A$43:$A$65,1,1)=$B26,0,VLOOKUP(WEEKDAY($B26),Datenblatt!$U$46:$W$52,3,FALSE))</f>
        <v>8</v>
      </c>
      <c r="E26" s="352">
        <f>IF(VLOOKUP($B26,Datenblatt!$A$43:$A$65,1,1)=$B26,0,IF(WEEKDAY($B26)=7,1,IF(WEEKDAY($B26)=1,0,2)))</f>
        <v>2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46345</v>
      </c>
      <c r="C27" s="157">
        <f t="shared" si="0"/>
        <v>46345</v>
      </c>
      <c r="D27" s="352">
        <f>IF(VLOOKUP($B27,Datenblatt!$A$43:$A$65,1,1)=$B27,0,VLOOKUP(WEEKDAY($B27),Datenblatt!$U$46:$W$52,3,FALSE))</f>
        <v>8</v>
      </c>
      <c r="E27" s="352">
        <f>IF(VLOOKUP($B27,Datenblatt!$A$43:$A$65,1,1)=$B27,0,IF(WEEKDAY($B27)=7,1,IF(WEEKDAY($B27)=1,0,2)))</f>
        <v>2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46346</v>
      </c>
      <c r="C28" s="157">
        <f t="shared" si="0"/>
        <v>46346</v>
      </c>
      <c r="D28" s="352">
        <f>IF(VLOOKUP($B28,Datenblatt!$A$43:$A$65,1,1)=$B28,0,VLOOKUP(WEEKDAY($B28),Datenblatt!$U$46:$W$52,3,FALSE))</f>
        <v>6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46347</v>
      </c>
      <c r="C29" s="157">
        <f t="shared" si="0"/>
        <v>46347</v>
      </c>
      <c r="D29" s="352">
        <f>IF(VLOOKUP($B29,Datenblatt!$A$43:$A$65,1,1)=$B29,0,VLOOKUP(WEEKDAY($B29),Datenblatt!$U$46:$W$52,3,FALSE))</f>
        <v>0</v>
      </c>
      <c r="E29" s="352">
        <f>IF(VLOOKUP($B29,Datenblatt!$A$43:$A$65,1,1)=$B29,0,IF(WEEKDAY($B29)=7,1,IF(WEEKDAY($B29)=1,0,2)))</f>
        <v>1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46348</v>
      </c>
      <c r="C30" s="157">
        <f t="shared" si="0"/>
        <v>46348</v>
      </c>
      <c r="D30" s="352">
        <f>IF(VLOOKUP($B30,Datenblatt!$A$43:$A$65,1,1)=$B30,0,VLOOKUP(WEEKDAY($B30),Datenblatt!$U$46:$W$52,3,FALSE))</f>
        <v>0</v>
      </c>
      <c r="E30" s="352">
        <f>IF(VLOOKUP($B30,Datenblatt!$A$43:$A$65,1,1)=$B30,0,IF(WEEKDAY($B30)=7,1,IF(WEEKDAY($B30)=1,0,2)))</f>
        <v>0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46349</v>
      </c>
      <c r="C31" s="157">
        <f t="shared" si="0"/>
        <v>46349</v>
      </c>
      <c r="D31" s="352">
        <f>IF(VLOOKUP($B31,Datenblatt!$A$43:$A$65,1,1)=$B31,0,VLOOKUP(WEEKDAY($B31),Datenblatt!$U$46:$W$52,3,FALSE))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46350</v>
      </c>
      <c r="C32" s="157">
        <f t="shared" si="0"/>
        <v>46350</v>
      </c>
      <c r="D32" s="352">
        <f>IF(VLOOKUP($B32,Datenblatt!$A$43:$A$65,1,1)=$B32,0,VLOOKUP(WEEKDAY($B32),Datenblatt!$U$46:$W$52,3,FALSE))</f>
        <v>8</v>
      </c>
      <c r="E32" s="352">
        <f>IF(VLOOKUP($B32,Datenblatt!$A$43:$A$65,1,1)=$B32,0,IF(WEEKDAY($B32)=7,1,IF(WEEKDAY($B32)=1,0,2)))</f>
        <v>2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46351</v>
      </c>
      <c r="C33" s="157">
        <f t="shared" si="0"/>
        <v>46351</v>
      </c>
      <c r="D33" s="352">
        <f>IF(VLOOKUP($B33,Datenblatt!$A$43:$A$65,1,1)=$B33,0,VLOOKUP(WEEKDAY($B33),Datenblatt!$U$46:$W$52,3,FALSE))</f>
        <v>8</v>
      </c>
      <c r="E33" s="352">
        <f>IF(VLOOKUP($B33,Datenblatt!$A$43:$A$65,1,1)=$B33,0,IF(WEEKDAY($B33)=7,1,IF(WEEKDAY($B33)=1,0,2)))</f>
        <v>2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46352</v>
      </c>
      <c r="C34" s="157">
        <f t="shared" si="0"/>
        <v>46352</v>
      </c>
      <c r="D34" s="352">
        <f>IF(VLOOKUP($B34,Datenblatt!$A$43:$A$65,1,1)=$B34,0,VLOOKUP(WEEKDAY($B34),Datenblatt!$U$46:$W$52,3,FALSE))</f>
        <v>8</v>
      </c>
      <c r="E34" s="352">
        <f>IF(VLOOKUP($B34,Datenblatt!$A$43:$A$65,1,1)=$B34,0,IF(WEEKDAY($B34)=7,1,IF(WEEKDAY($B34)=1,0,2)))</f>
        <v>2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46353</v>
      </c>
      <c r="C35" s="157">
        <f t="shared" si="0"/>
        <v>46353</v>
      </c>
      <c r="D35" s="352">
        <f>IF(VLOOKUP($B35,Datenblatt!$A$43:$A$65,1,1)=$B35,0,VLOOKUP(WEEKDAY($B35),Datenblatt!$U$46:$W$52,3,FALSE))</f>
        <v>6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46354</v>
      </c>
      <c r="C36" s="157">
        <f t="shared" si="0"/>
        <v>46354</v>
      </c>
      <c r="D36" s="352">
        <f>IF(VLOOKUP($B36,Datenblatt!$A$43:$A$65,1,1)=$B36,0,VLOOKUP(WEEKDAY($B36),Datenblatt!$U$46:$W$52,3,FALSE))</f>
        <v>0</v>
      </c>
      <c r="E36" s="352">
        <f>IF(VLOOKUP($B36,Datenblatt!$A$43:$A$65,1,1)=$B36,0,IF(WEEKDAY($B36)=7,1,IF(WEEKDAY($B36)=1,0,2)))</f>
        <v>1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46355</v>
      </c>
      <c r="C37" s="157">
        <f t="shared" si="0"/>
        <v>46355</v>
      </c>
      <c r="D37" s="352">
        <f>IF(VLOOKUP($B37,Datenblatt!$A$43:$A$65,1,1)=$B37,0,VLOOKUP(WEEKDAY($B37),Datenblatt!$U$46:$W$52,3,FALSE))</f>
        <v>0</v>
      </c>
      <c r="E37" s="352">
        <f>IF(VLOOKUP($B37,Datenblatt!$A$43:$A$65,1,1)=$B37,0,IF(WEEKDAY($B37)=7,1,IF(WEEKDAY($B37)=1,0,2)))</f>
        <v>0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46356</v>
      </c>
      <c r="C38" s="157">
        <f t="shared" si="0"/>
        <v>46356</v>
      </c>
      <c r="D38" s="352">
        <f>IF(VLOOKUP($B38,Datenblatt!$A$43:$A$65,1,1)=$B38,0,VLOOKUP(WEEKDAY($B38),Datenblatt!$U$46:$W$52,3,FALSE))</f>
        <v>8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/>
      <c r="C39" s="157"/>
      <c r="D39" s="158"/>
      <c r="E39" s="158"/>
      <c r="F39" s="197"/>
      <c r="G39" s="198"/>
      <c r="H39" s="199"/>
      <c r="I39" s="200"/>
      <c r="J39" s="199"/>
      <c r="K39" s="200"/>
      <c r="L39" s="201"/>
      <c r="M39" s="202"/>
      <c r="N39" s="203"/>
      <c r="O39" s="203"/>
      <c r="P39" s="204"/>
      <c r="Q39" s="205"/>
      <c r="R39" s="171" t="str">
        <f t="shared" si="1"/>
        <v/>
      </c>
      <c r="S39" s="172" t="str">
        <f t="shared" si="2"/>
        <v/>
      </c>
      <c r="T39" s="169" t="str">
        <f t="shared" si="3"/>
        <v/>
      </c>
      <c r="U39" s="170"/>
      <c r="V39" s="415"/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20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November "&amp;Datenblatt!$F$5&amp;":"</f>
        <v>Sollstunden für November 2026:</v>
      </c>
      <c r="N41" s="66"/>
      <c r="O41" s="66"/>
      <c r="P41" s="186"/>
      <c r="R41" s="187"/>
      <c r="S41" s="403">
        <f>SUM(D9:D39)</f>
        <v>152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November "&amp;Datenblatt!F5&amp;":   ","Zeitdefizit im Monat November "&amp;Datenblatt!F5&amp;":   ")</f>
        <v xml:space="preserve">Zeitdefizit im Monat November 2026:   </v>
      </c>
      <c r="N42" s="189"/>
      <c r="O42" s="189"/>
      <c r="R42" s="190"/>
      <c r="S42" s="397">
        <f>T40-SUM(D9:D39)</f>
        <v>-152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Oktober "&amp;Datenblatt!F5&amp;":   ","  - Zeitdefizit aus Oktober "&amp;Datenblatt!F5&amp;":   ")</f>
        <v xml:space="preserve">  - Zeitdefizit aus Oktober 2026:   </v>
      </c>
      <c r="S43" s="398">
        <f>Okt!S44</f>
        <v>-1580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Dezember "&amp;Datenblatt!F5</f>
        <v>Übertrag für Dezember 2026</v>
      </c>
      <c r="R44" s="195"/>
      <c r="S44" s="399">
        <f>S43+S42-I42</f>
        <v>-1732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293" priority="1" stopIfTrue="1" operator="equal">
      <formula>MATCH($E15,0)</formula>
    </cfRule>
    <cfRule type="expression" dxfId="1292" priority="2" stopIfTrue="1">
      <formula>"WOCHENTAG($B8)=1"</formula>
    </cfRule>
    <cfRule type="expression" dxfId="1291" priority="3" stopIfTrue="1">
      <formula>"WOCHENTAG($B8)=7"</formula>
    </cfRule>
  </conditionalFormatting>
  <conditionalFormatting sqref="B9:C9">
    <cfRule type="expression" dxfId="1290" priority="71" stopIfTrue="1">
      <formula>($E$9=1)</formula>
    </cfRule>
  </conditionalFormatting>
  <conditionalFormatting sqref="B10:C10">
    <cfRule type="expression" dxfId="1289" priority="74" stopIfTrue="1">
      <formula>($E$10=1)</formula>
    </cfRule>
  </conditionalFormatting>
  <conditionalFormatting sqref="B11:C11">
    <cfRule type="expression" dxfId="1288" priority="77" stopIfTrue="1">
      <formula>($E$11=1)</formula>
    </cfRule>
  </conditionalFormatting>
  <conditionalFormatting sqref="B12:C12">
    <cfRule type="expression" dxfId="1287" priority="80" stopIfTrue="1">
      <formula>($E$12=1)</formula>
    </cfRule>
  </conditionalFormatting>
  <conditionalFormatting sqref="B13:C13">
    <cfRule type="expression" dxfId="1286" priority="83" stopIfTrue="1">
      <formula>($E$13=1)</formula>
    </cfRule>
  </conditionalFormatting>
  <conditionalFormatting sqref="B14:C14">
    <cfRule type="expression" dxfId="1285" priority="86" stopIfTrue="1">
      <formula>($E$14=1)</formula>
    </cfRule>
  </conditionalFormatting>
  <conditionalFormatting sqref="B15:C15">
    <cfRule type="expression" dxfId="1284" priority="89" stopIfTrue="1">
      <formula>($E$15=1)</formula>
    </cfRule>
  </conditionalFormatting>
  <conditionalFormatting sqref="B16:C16">
    <cfRule type="expression" dxfId="1283" priority="92" stopIfTrue="1">
      <formula>($E$16=1)</formula>
    </cfRule>
  </conditionalFormatting>
  <conditionalFormatting sqref="B17:C17">
    <cfRule type="expression" dxfId="1282" priority="95" stopIfTrue="1">
      <formula>($E$17=1)</formula>
    </cfRule>
  </conditionalFormatting>
  <conditionalFormatting sqref="B18:C18">
    <cfRule type="expression" dxfId="1281" priority="98" stopIfTrue="1">
      <formula>($E$18=1)</formula>
    </cfRule>
  </conditionalFormatting>
  <conditionalFormatting sqref="B19:C19">
    <cfRule type="expression" dxfId="1280" priority="101" stopIfTrue="1">
      <formula>($E$19=1)</formula>
    </cfRule>
  </conditionalFormatting>
  <conditionalFormatting sqref="B20:C20">
    <cfRule type="expression" dxfId="1279" priority="104" stopIfTrue="1">
      <formula>($E$20=1)</formula>
    </cfRule>
  </conditionalFormatting>
  <conditionalFormatting sqref="B21:C21">
    <cfRule type="expression" dxfId="1278" priority="107" stopIfTrue="1">
      <formula>($E$21=1)</formula>
    </cfRule>
  </conditionalFormatting>
  <conditionalFormatting sqref="B22:C22">
    <cfRule type="expression" dxfId="1277" priority="110" stopIfTrue="1">
      <formula>($E$22=1)</formula>
    </cfRule>
  </conditionalFormatting>
  <conditionalFormatting sqref="B23:C23">
    <cfRule type="expression" dxfId="1276" priority="113" stopIfTrue="1">
      <formula>($E$23=1)</formula>
    </cfRule>
  </conditionalFormatting>
  <conditionalFormatting sqref="B24:C24">
    <cfRule type="expression" dxfId="1275" priority="116" stopIfTrue="1">
      <formula>($E$24=1)</formula>
    </cfRule>
  </conditionalFormatting>
  <conditionalFormatting sqref="B25:C25">
    <cfRule type="expression" dxfId="1274" priority="119" stopIfTrue="1">
      <formula>($E$25=1)</formula>
    </cfRule>
  </conditionalFormatting>
  <conditionalFormatting sqref="B26:C26">
    <cfRule type="expression" dxfId="1273" priority="122" stopIfTrue="1">
      <formula>($E$26=1)</formula>
    </cfRule>
  </conditionalFormatting>
  <conditionalFormatting sqref="B27:C27">
    <cfRule type="expression" dxfId="1272" priority="125" stopIfTrue="1">
      <formula>($E$27=1)</formula>
    </cfRule>
  </conditionalFormatting>
  <conditionalFormatting sqref="B28:C28">
    <cfRule type="expression" dxfId="1271" priority="128" stopIfTrue="1">
      <formula>($E$28=1)</formula>
    </cfRule>
  </conditionalFormatting>
  <conditionalFormatting sqref="B29:C29">
    <cfRule type="expression" dxfId="1270" priority="131" stopIfTrue="1">
      <formula>($E$29=1)</formula>
    </cfRule>
  </conditionalFormatting>
  <conditionalFormatting sqref="B30:C30">
    <cfRule type="expression" dxfId="1269" priority="134" stopIfTrue="1">
      <formula>($E$30=1)</formula>
    </cfRule>
  </conditionalFormatting>
  <conditionalFormatting sqref="B31:C31">
    <cfRule type="expression" dxfId="1268" priority="137" stopIfTrue="1">
      <formula>($E$31=1)</formula>
    </cfRule>
  </conditionalFormatting>
  <conditionalFormatting sqref="B32:C32">
    <cfRule type="expression" dxfId="1267" priority="140" stopIfTrue="1">
      <formula>($E$32=1)</formula>
    </cfRule>
  </conditionalFormatting>
  <conditionalFormatting sqref="B33:C33">
    <cfRule type="expression" dxfId="1266" priority="143" stopIfTrue="1">
      <formula>($E$33=1)</formula>
    </cfRule>
  </conditionalFormatting>
  <conditionalFormatting sqref="B34:C34">
    <cfRule type="expression" dxfId="1265" priority="146" stopIfTrue="1">
      <formula>($E$34=1)</formula>
    </cfRule>
  </conditionalFormatting>
  <conditionalFormatting sqref="B35:C35">
    <cfRule type="expression" dxfId="1264" priority="149" stopIfTrue="1">
      <formula>($E$35=1)</formula>
    </cfRule>
  </conditionalFormatting>
  <conditionalFormatting sqref="B36:C36">
    <cfRule type="expression" dxfId="1263" priority="152" stopIfTrue="1">
      <formula>($E$36=1)</formula>
    </cfRule>
  </conditionalFormatting>
  <conditionalFormatting sqref="B37:C37">
    <cfRule type="expression" dxfId="1262" priority="155" stopIfTrue="1">
      <formula>($E$37=1)</formula>
    </cfRule>
  </conditionalFormatting>
  <conditionalFormatting sqref="B38:C38">
    <cfRule type="expression" dxfId="1261" priority="158" stopIfTrue="1">
      <formula>($E$38=1)</formula>
    </cfRule>
  </conditionalFormatting>
  <conditionalFormatting sqref="B39:C39">
    <cfRule type="expression" dxfId="1260" priority="6" stopIfTrue="1">
      <formula>($E$39=1)</formula>
    </cfRule>
  </conditionalFormatting>
  <conditionalFormatting sqref="B9:T9 V9">
    <cfRule type="expression" dxfId="1259" priority="9" stopIfTrue="1">
      <formula>($E$9=0)</formula>
    </cfRule>
    <cfRule type="expression" dxfId="1258" priority="10" stopIfTrue="1">
      <formula>($D$9="Ersatzruhetag")</formula>
    </cfRule>
  </conditionalFormatting>
  <conditionalFormatting sqref="B10:T10 V10">
    <cfRule type="expression" dxfId="1257" priority="11" stopIfTrue="1">
      <formula>($E$10=0)</formula>
    </cfRule>
    <cfRule type="expression" dxfId="1256" priority="12" stopIfTrue="1">
      <formula>($D$10="Ersatzruhetag")</formula>
    </cfRule>
  </conditionalFormatting>
  <conditionalFormatting sqref="B11:T11 V11">
    <cfRule type="expression" dxfId="1255" priority="14" stopIfTrue="1">
      <formula>($D$11="Ersatzruhetag")</formula>
    </cfRule>
    <cfRule type="expression" dxfId="1254" priority="13" stopIfTrue="1">
      <formula>($E$11=0)</formula>
    </cfRule>
  </conditionalFormatting>
  <conditionalFormatting sqref="B12:T12 V12">
    <cfRule type="expression" dxfId="1253" priority="15" stopIfTrue="1">
      <formula>($E$12=0)</formula>
    </cfRule>
    <cfRule type="expression" dxfId="1252" priority="16" stopIfTrue="1">
      <formula>($D$12="Ersatzruhetag")</formula>
    </cfRule>
  </conditionalFormatting>
  <conditionalFormatting sqref="B13:T13 V13">
    <cfRule type="expression" dxfId="1251" priority="18" stopIfTrue="1">
      <formula>($D$13="Ersatzruhetag")</formula>
    </cfRule>
    <cfRule type="expression" dxfId="1250" priority="17" stopIfTrue="1">
      <formula>($E$13=0)</formula>
    </cfRule>
  </conditionalFormatting>
  <conditionalFormatting sqref="B14:T14 V14">
    <cfRule type="expression" dxfId="1249" priority="19" stopIfTrue="1">
      <formula>($E$14=0)</formula>
    </cfRule>
    <cfRule type="expression" dxfId="1248" priority="20" stopIfTrue="1">
      <formula>($D$14="Ersatzruhetag")</formula>
    </cfRule>
  </conditionalFormatting>
  <conditionalFormatting sqref="B15:T15 V15">
    <cfRule type="expression" dxfId="1247" priority="21" stopIfTrue="1">
      <formula>($E$15=0)</formula>
    </cfRule>
    <cfRule type="expression" dxfId="1246" priority="22" stopIfTrue="1">
      <formula>($D$15="Ersatzruhetag")</formula>
    </cfRule>
  </conditionalFormatting>
  <conditionalFormatting sqref="B16:T16 V16">
    <cfRule type="expression" dxfId="1245" priority="24" stopIfTrue="1">
      <formula>($D$16="Ersatzruhetag")</formula>
    </cfRule>
    <cfRule type="expression" dxfId="1244" priority="23" stopIfTrue="1">
      <formula>($E$16=0)</formula>
    </cfRule>
  </conditionalFormatting>
  <conditionalFormatting sqref="B17:T17 V17">
    <cfRule type="expression" dxfId="1243" priority="25" stopIfTrue="1">
      <formula>($E$17=0)</formula>
    </cfRule>
    <cfRule type="expression" dxfId="1242" priority="26" stopIfTrue="1">
      <formula>($D$17="Ersatzruhetag")</formula>
    </cfRule>
  </conditionalFormatting>
  <conditionalFormatting sqref="B18:T18 V18">
    <cfRule type="expression" dxfId="1241" priority="28" stopIfTrue="1">
      <formula>($D$18="Ersatzruhetag")</formula>
    </cfRule>
    <cfRule type="expression" dxfId="1240" priority="27" stopIfTrue="1">
      <formula>($E$18=0)</formula>
    </cfRule>
  </conditionalFormatting>
  <conditionalFormatting sqref="B19:T19 V19">
    <cfRule type="expression" dxfId="1239" priority="29" stopIfTrue="1">
      <formula>($E$19=0)</formula>
    </cfRule>
    <cfRule type="expression" dxfId="1238" priority="30" stopIfTrue="1">
      <formula>($D$19="Ersatzruhetag")</formula>
    </cfRule>
  </conditionalFormatting>
  <conditionalFormatting sqref="B20:T20 V20">
    <cfRule type="expression" dxfId="1237" priority="31" stopIfTrue="1">
      <formula>($E$20=0)</formula>
    </cfRule>
    <cfRule type="expression" dxfId="1236" priority="32" stopIfTrue="1">
      <formula>($D$20="Ersatzruhetag")</formula>
    </cfRule>
  </conditionalFormatting>
  <conditionalFormatting sqref="B21:T21 V21">
    <cfRule type="expression" dxfId="1235" priority="33" stopIfTrue="1">
      <formula>($E$21=0)</formula>
    </cfRule>
    <cfRule type="expression" dxfId="1234" priority="34" stopIfTrue="1">
      <formula>($D$21="Ersatzruhetag")</formula>
    </cfRule>
  </conditionalFormatting>
  <conditionalFormatting sqref="B22:T22 V22">
    <cfRule type="expression" dxfId="1233" priority="35" stopIfTrue="1">
      <formula>($E$22=0)</formula>
    </cfRule>
    <cfRule type="expression" dxfId="1232" priority="36" stopIfTrue="1">
      <formula>($D$22="Ersatzruhetag")</formula>
    </cfRule>
  </conditionalFormatting>
  <conditionalFormatting sqref="B23:T23 V23">
    <cfRule type="expression" dxfId="1231" priority="37" stopIfTrue="1">
      <formula>($E$23=0)</formula>
    </cfRule>
    <cfRule type="expression" dxfId="1230" priority="38" stopIfTrue="1">
      <formula>($D$23="Ersatzruhetag")</formula>
    </cfRule>
  </conditionalFormatting>
  <conditionalFormatting sqref="B24:T24 V24">
    <cfRule type="expression" dxfId="1229" priority="39" stopIfTrue="1">
      <formula>($E$24=0)</formula>
    </cfRule>
    <cfRule type="expression" dxfId="1228" priority="40" stopIfTrue="1">
      <formula>($D$24="Ersatzruhetag")</formula>
    </cfRule>
  </conditionalFormatting>
  <conditionalFormatting sqref="B25:T25 V25">
    <cfRule type="expression" dxfId="1227" priority="41" stopIfTrue="1">
      <formula>($E$25=0)</formula>
    </cfRule>
    <cfRule type="expression" dxfId="1226" priority="42" stopIfTrue="1">
      <formula>($D$25="Ersatzruhetag")</formula>
    </cfRule>
  </conditionalFormatting>
  <conditionalFormatting sqref="B26:T26 V26">
    <cfRule type="expression" dxfId="1225" priority="43" stopIfTrue="1">
      <formula>($E$26=0)</formula>
    </cfRule>
    <cfRule type="expression" dxfId="1224" priority="44" stopIfTrue="1">
      <formula>($D$26="Ersatzruhetag")</formula>
    </cfRule>
  </conditionalFormatting>
  <conditionalFormatting sqref="B27:T27 V27">
    <cfRule type="expression" dxfId="1223" priority="45" stopIfTrue="1">
      <formula>($E$27=0)</formula>
    </cfRule>
    <cfRule type="expression" dxfId="1222" priority="46" stopIfTrue="1">
      <formula>($D$27="Ersatzruhetag")</formula>
    </cfRule>
  </conditionalFormatting>
  <conditionalFormatting sqref="B28:T28 V28">
    <cfRule type="expression" dxfId="1221" priority="47" stopIfTrue="1">
      <formula>($E$28=0)</formula>
    </cfRule>
    <cfRule type="expression" dxfId="1220" priority="48" stopIfTrue="1">
      <formula>($D$28="Ersatzruhetag")</formula>
    </cfRule>
  </conditionalFormatting>
  <conditionalFormatting sqref="B29:T29 V29">
    <cfRule type="expression" dxfId="1219" priority="50" stopIfTrue="1">
      <formula>($D$29="Ersatzruhetag")</formula>
    </cfRule>
    <cfRule type="expression" dxfId="1218" priority="49" stopIfTrue="1">
      <formula>($E$29=0)</formula>
    </cfRule>
  </conditionalFormatting>
  <conditionalFormatting sqref="B30:T30 V30">
    <cfRule type="expression" dxfId="1217" priority="52" stopIfTrue="1">
      <formula>($D$30="Ersatzruhetag")</formula>
    </cfRule>
    <cfRule type="expression" dxfId="1216" priority="51" stopIfTrue="1">
      <formula>($E$30=0)</formula>
    </cfRule>
  </conditionalFormatting>
  <conditionalFormatting sqref="B31:T31 V31">
    <cfRule type="expression" dxfId="1215" priority="54" stopIfTrue="1">
      <formula>($D$31="Ersatzruhetag")</formula>
    </cfRule>
    <cfRule type="expression" dxfId="1214" priority="53" stopIfTrue="1">
      <formula>($E$31=0)</formula>
    </cfRule>
  </conditionalFormatting>
  <conditionalFormatting sqref="B32:T32 V32">
    <cfRule type="expression" dxfId="1213" priority="56" stopIfTrue="1">
      <formula>($D$32="Ersatzruhetag")</formula>
    </cfRule>
    <cfRule type="expression" dxfId="1212" priority="55" stopIfTrue="1">
      <formula>($E$32=0)</formula>
    </cfRule>
  </conditionalFormatting>
  <conditionalFormatting sqref="B33:T33 V33">
    <cfRule type="expression" dxfId="1211" priority="58" stopIfTrue="1">
      <formula>($D$33="Ersatzruhetag")</formula>
    </cfRule>
    <cfRule type="expression" dxfId="1210" priority="57" stopIfTrue="1">
      <formula>($E$33=0)</formula>
    </cfRule>
  </conditionalFormatting>
  <conditionalFormatting sqref="B34:T34 V34">
    <cfRule type="expression" dxfId="1209" priority="60" stopIfTrue="1">
      <formula>($D$34="Ersatzruhetag")</formula>
    </cfRule>
    <cfRule type="expression" dxfId="1208" priority="59" stopIfTrue="1">
      <formula>($E$34=0)</formula>
    </cfRule>
  </conditionalFormatting>
  <conditionalFormatting sqref="B35:T35 V35">
    <cfRule type="expression" dxfId="1207" priority="62" stopIfTrue="1">
      <formula>($D$35="Ersatzruhetag")</formula>
    </cfRule>
    <cfRule type="expression" dxfId="1206" priority="61" stopIfTrue="1">
      <formula>($E$35=0)</formula>
    </cfRule>
  </conditionalFormatting>
  <conditionalFormatting sqref="B36:T36 V36">
    <cfRule type="expression" dxfId="1205" priority="63" stopIfTrue="1">
      <formula>($E$36=0)</formula>
    </cfRule>
    <cfRule type="expression" dxfId="1204" priority="64" stopIfTrue="1">
      <formula>($D$36="Ersatzruhetag")</formula>
    </cfRule>
  </conditionalFormatting>
  <conditionalFormatting sqref="B37:T37 V37">
    <cfRule type="expression" dxfId="1203" priority="66" stopIfTrue="1">
      <formula>($D$37="Ersatzruhetag")</formula>
    </cfRule>
    <cfRule type="expression" dxfId="1202" priority="65" stopIfTrue="1">
      <formula>($E$37=0)</formula>
    </cfRule>
  </conditionalFormatting>
  <conditionalFormatting sqref="B38:T38 V38">
    <cfRule type="expression" dxfId="1201" priority="68" stopIfTrue="1">
      <formula>($D$38="Ersatzruhetag")</formula>
    </cfRule>
    <cfRule type="expression" dxfId="1200" priority="67" stopIfTrue="1">
      <formula>($E$38=0)</formula>
    </cfRule>
  </conditionalFormatting>
  <conditionalFormatting sqref="B39:T39">
    <cfRule type="expression" dxfId="1199" priority="4" stopIfTrue="1">
      <formula>($E$39=0)</formula>
    </cfRule>
    <cfRule type="expression" dxfId="1198" priority="5" stopIfTrue="1">
      <formula>($D$39="Ersatzsonntag")</formula>
    </cfRule>
  </conditionalFormatting>
  <conditionalFormatting sqref="V39">
    <cfRule type="expression" dxfId="1197" priority="8" stopIfTrue="1">
      <formula>($D$39="Ersatzsonntag")</formula>
    </cfRule>
    <cfRule type="expression" dxfId="1196" priority="7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8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F39" sqref="F3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0.140625" style="94" hidden="1" customWidth="1"/>
    <col min="5" max="5" width="7.140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DATE(Datenblatt!F5,12,1)</f>
        <v>46357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"&amp;Datenblatt!$Z$46&amp;";"&amp;"    Di: "&amp;Datenblatt!$Z$47&amp;";"&amp;"    Mi: "&amp;Datenblatt!$Z$48&amp;";"&amp;"    Do: "&amp;Datenblatt!$Z$49&amp;";"&amp;"    Fr: "&amp;Datenblatt!$Z$50&amp;";"&amp;"    Sa: "&amp;Datenblatt!$Z$51&amp;";"&amp;"    So: "&amp;Datenblatt!$Z$52&amp;""&amp;"     -    Wochenarbeitszeit:  "&amp;Datenblatt!$Z$53&amp;"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Nov!T5+Datenblatt!Z54</f>
        <v>190</v>
      </c>
      <c r="U4" s="405"/>
      <c r="V4" s="141"/>
      <c r="W4" s="142" t="str">
        <f>"Urlaubsanspruch per 01.12."&amp;Datenblatt!$F$5</f>
        <v>Urlaubsanspruch per 01.12.2026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"&amp;IF(Datenblatt!Z55=1,Datenblatt!D34,IF(Datenblatt!Z55=2,Datenblatt!D35,IF(Datenblatt!Z55=3,Datenblatt!D36,IF(Datenblatt!Z55=4,Datenblatt!D37))))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190</v>
      </c>
      <c r="U5" s="405"/>
      <c r="V5" s="141"/>
      <c r="W5" s="143" t="str">
        <f>"Resturlaub per 31.12."&amp;Datenblatt!$F$5</f>
        <v>Resturlaub per 31.12.2026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46357</v>
      </c>
      <c r="C9" s="157">
        <f t="shared" ref="C9:C39" si="0">B9</f>
        <v>46357</v>
      </c>
      <c r="D9" s="350">
        <f>IF(VLOOKUP($B9,Datenblatt!$A$43:$A$65,1,1)=$B9,0,VLOOKUP(WEEKDAY($B9),Datenblatt!$X$46:$Z$52,3,FALSE))</f>
        <v>8</v>
      </c>
      <c r="E9" s="350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9" si="4">B9+1</f>
        <v>46358</v>
      </c>
      <c r="C10" s="157">
        <f t="shared" si="0"/>
        <v>46358</v>
      </c>
      <c r="D10" s="351">
        <f>IF(VLOOKUP($B10,Datenblatt!$A$43:$A$65,1,1)=$B10,0,VLOOKUP(WEEKDAY($B10),Datenblatt!$X$46:$Z$52,3,FALSE))</f>
        <v>8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46359</v>
      </c>
      <c r="C11" s="157">
        <f t="shared" si="0"/>
        <v>46359</v>
      </c>
      <c r="D11" s="352">
        <f>IF(VLOOKUP($B11,Datenblatt!$A$43:$A$65,1,1)=$B11,0,VLOOKUP(WEEKDAY($B11),Datenblatt!$X$46:$Z$52,3,FALSE))</f>
        <v>8</v>
      </c>
      <c r="E11" s="352">
        <f>IF(VLOOKUP($B11,Datenblatt!$A$43:$A$65,1,1)=$B11,0,IF(WEEKDAY($B11)=7,1,IF(WEEKDAY($B11)=1,0,2)))</f>
        <v>2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46360</v>
      </c>
      <c r="C12" s="157">
        <f t="shared" si="0"/>
        <v>46360</v>
      </c>
      <c r="D12" s="352">
        <f>IF(VLOOKUP($B12,Datenblatt!$A$43:$A$65,1,1)=$B12,0,VLOOKUP(WEEKDAY($B12),Datenblatt!$X$46:$Z$52,3,FALSE))</f>
        <v>6</v>
      </c>
      <c r="E12" s="352">
        <f>IF(VLOOKUP($B12,Datenblatt!$A$43:$A$65,1,1)=$B12,0,IF(WEEKDAY($B12)=7,1,IF(WEEKDAY($B12)=1,0,2)))</f>
        <v>2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46361</v>
      </c>
      <c r="C13" s="157">
        <f t="shared" si="0"/>
        <v>46361</v>
      </c>
      <c r="D13" s="352">
        <f>IF(VLOOKUP($B13,Datenblatt!$A$43:$A$65,1,1)=$B13,0,VLOOKUP(WEEKDAY($B13),Datenblatt!$X$46:$Z$52,3,FALSE))</f>
        <v>0</v>
      </c>
      <c r="E13" s="352">
        <f>IF(VLOOKUP($B13,Datenblatt!$A$43:$A$65,1,1)=$B13,0,IF(WEEKDAY($B13)=7,1,IF(WEEKDAY($B13)=1,0,2)))</f>
        <v>1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46362</v>
      </c>
      <c r="C14" s="157">
        <f t="shared" si="0"/>
        <v>46362</v>
      </c>
      <c r="D14" s="352">
        <f>IF(VLOOKUP($B14,Datenblatt!$A$43:$A$65,1,1)=$B14,0,VLOOKUP(WEEKDAY($B14),Datenblatt!$X$46:$Z$52,3,FALSE))</f>
        <v>0</v>
      </c>
      <c r="E14" s="352">
        <f>IF(VLOOKUP($B14,Datenblatt!$A$43:$A$65,1,1)=$B14,0,IF(WEEKDAY($B14)=7,1,IF(WEEKDAY($B14)=1,0,2)))</f>
        <v>0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46363</v>
      </c>
      <c r="C15" s="157">
        <f t="shared" si="0"/>
        <v>46363</v>
      </c>
      <c r="D15" s="352">
        <f>IF(VLOOKUP($B15,Datenblatt!$A$43:$A$65,1,1)=$B15,0,VLOOKUP(WEEKDAY($B15),Datenblatt!$X$46:$Z$52,3,FALSE))</f>
        <v>8</v>
      </c>
      <c r="E15" s="352">
        <f>IF(VLOOKUP($B15,Datenblatt!$A$43:$A$65,1,1)=$B15,0,IF(WEEKDAY($B15)=7,1,IF(WEEKDAY($B15)=1,0,2)))</f>
        <v>2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46364</v>
      </c>
      <c r="C16" s="157">
        <f t="shared" si="0"/>
        <v>46364</v>
      </c>
      <c r="D16" s="352">
        <f>IF(VLOOKUP($B16,Datenblatt!$A$43:$A$65,1,1)=$B16,0,VLOOKUP(WEEKDAY($B16),Datenblatt!$X$46:$Z$52,3,FALSE))</f>
        <v>0</v>
      </c>
      <c r="E16" s="352">
        <f>IF(VLOOKUP($B16,Datenblatt!$A$43:$A$65,1,1)=$B16,0,IF(WEEKDAY($B16)=7,1,IF(WEEKDAY($B16)=1,0,2)))</f>
        <v>0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>Maria Empfängnis</v>
      </c>
      <c r="W16" s="413"/>
      <c r="X16" s="414"/>
      <c r="AA16" s="173"/>
    </row>
    <row r="17" spans="2:128" ht="12.2" customHeight="1">
      <c r="B17" s="156">
        <f t="shared" si="4"/>
        <v>46365</v>
      </c>
      <c r="C17" s="157">
        <f t="shared" si="0"/>
        <v>46365</v>
      </c>
      <c r="D17" s="352">
        <f>IF(VLOOKUP($B17,Datenblatt!$A$43:$A$65,1,1)=$B17,0,VLOOKUP(WEEKDAY($B17),Datenblatt!$X$46:$Z$52,3,FALSE))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46366</v>
      </c>
      <c r="C18" s="157">
        <f t="shared" si="0"/>
        <v>46366</v>
      </c>
      <c r="D18" s="352">
        <f>IF(VLOOKUP($B18,Datenblatt!$A$43:$A$65,1,1)=$B18,0,VLOOKUP(WEEKDAY($B18),Datenblatt!$X$46:$Z$52,3,FALSE))</f>
        <v>8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46367</v>
      </c>
      <c r="C19" s="157">
        <f t="shared" si="0"/>
        <v>46367</v>
      </c>
      <c r="D19" s="352">
        <f>IF(VLOOKUP($B19,Datenblatt!$A$43:$A$65,1,1)=$B19,0,VLOOKUP(WEEKDAY($B19),Datenblatt!$X$46:$Z$52,3,FALSE))</f>
        <v>6</v>
      </c>
      <c r="E19" s="352">
        <f>IF(VLOOKUP($B19,Datenblatt!$A$43:$A$65,1,1)=$B19,0,IF(WEEKDAY($B19)=7,1,IF(WEEKDAY($B19)=1,0,2)))</f>
        <v>2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46368</v>
      </c>
      <c r="C20" s="157">
        <f t="shared" si="0"/>
        <v>46368</v>
      </c>
      <c r="D20" s="352">
        <f>IF(VLOOKUP($B20,Datenblatt!$A$43:$A$65,1,1)=$B20,0,VLOOKUP(WEEKDAY($B20),Datenblatt!$X$46:$Z$52,3,FALSE))</f>
        <v>0</v>
      </c>
      <c r="E20" s="352">
        <f>IF(VLOOKUP($B20,Datenblatt!$A$43:$A$65,1,1)=$B20,0,IF(WEEKDAY($B20)=7,1,IF(WEEKDAY($B20)=1,0,2)))</f>
        <v>1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46369</v>
      </c>
      <c r="C21" s="157">
        <f t="shared" si="0"/>
        <v>46369</v>
      </c>
      <c r="D21" s="352">
        <f>IF(VLOOKUP($B21,Datenblatt!$A$43:$A$65,1,1)=$B21,0,VLOOKUP(WEEKDAY($B21),Datenblatt!$X$46:$Z$52,3,FALSE))</f>
        <v>0</v>
      </c>
      <c r="E21" s="352">
        <f>IF(VLOOKUP($B21,Datenblatt!$A$43:$A$65,1,1)=$B21,0,IF(WEEKDAY($B21)=7,1,IF(WEEKDAY($B21)=1,0,2)))</f>
        <v>0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46370</v>
      </c>
      <c r="C22" s="157">
        <f t="shared" si="0"/>
        <v>46370</v>
      </c>
      <c r="D22" s="352">
        <f>IF(VLOOKUP($B22,Datenblatt!$A$43:$A$65,1,1)=$B22,0,VLOOKUP(WEEKDAY($B22),Datenblatt!$X$46:$Z$52,3,FALSE))</f>
        <v>8</v>
      </c>
      <c r="E22" s="352">
        <f>IF(VLOOKUP($B22,Datenblatt!$A$43:$A$65,1,1)=$B22,0,IF(WEEKDAY($B22)=7,1,IF(WEEKDAY($B22)=1,0,2)))</f>
        <v>2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46371</v>
      </c>
      <c r="C23" s="157">
        <f t="shared" si="0"/>
        <v>46371</v>
      </c>
      <c r="D23" s="352">
        <f>IF(VLOOKUP($B23,Datenblatt!$A$43:$A$65,1,1)=$B23,0,VLOOKUP(WEEKDAY($B23),Datenblatt!$X$46:$Z$52,3,FALSE))</f>
        <v>8</v>
      </c>
      <c r="E23" s="352">
        <f>IF(VLOOKUP($B23,Datenblatt!$A$43:$A$65,1,1)=$B23,0,IF(WEEKDAY($B23)=7,1,IF(WEEKDAY($B23)=1,0,2)))</f>
        <v>2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46372</v>
      </c>
      <c r="C24" s="157">
        <f t="shared" si="0"/>
        <v>46372</v>
      </c>
      <c r="D24" s="352">
        <f>IF(VLOOKUP($B24,Datenblatt!$A$43:$A$65,1,1)=$B24,0,VLOOKUP(WEEKDAY($B24),Datenblatt!$X$46:$Z$52,3,FALSE))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46373</v>
      </c>
      <c r="C25" s="157">
        <f t="shared" si="0"/>
        <v>46373</v>
      </c>
      <c r="D25" s="352">
        <f>IF(VLOOKUP($B25,Datenblatt!$A$43:$A$65,1,1)=$B25,0,VLOOKUP(WEEKDAY($B25),Datenblatt!$X$46:$Z$52,3,FALSE))</f>
        <v>8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46374</v>
      </c>
      <c r="C26" s="157">
        <f t="shared" si="0"/>
        <v>46374</v>
      </c>
      <c r="D26" s="352">
        <f>IF(VLOOKUP($B26,Datenblatt!$A$43:$A$65,1,1)=$B26,0,VLOOKUP(WEEKDAY($B26),Datenblatt!$X$46:$Z$52,3,FALSE))</f>
        <v>6</v>
      </c>
      <c r="E26" s="352">
        <f>IF(VLOOKUP($B26,Datenblatt!$A$43:$A$65,1,1)=$B26,0,IF(WEEKDAY($B26)=7,1,IF(WEEKDAY($B26)=1,0,2)))</f>
        <v>2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46375</v>
      </c>
      <c r="C27" s="157">
        <f t="shared" si="0"/>
        <v>46375</v>
      </c>
      <c r="D27" s="352">
        <f>IF(VLOOKUP($B27,Datenblatt!$A$43:$A$65,1,1)=$B27,0,VLOOKUP(WEEKDAY($B27),Datenblatt!$X$46:$Z$52,3,FALSE))</f>
        <v>0</v>
      </c>
      <c r="E27" s="352">
        <f>IF(VLOOKUP($B27,Datenblatt!$A$43:$A$65,1,1)=$B27,0,IF(WEEKDAY($B27)=7,1,IF(WEEKDAY($B27)=1,0,2)))</f>
        <v>1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46376</v>
      </c>
      <c r="C28" s="157">
        <f t="shared" si="0"/>
        <v>46376</v>
      </c>
      <c r="D28" s="352">
        <f>IF(VLOOKUP($B28,Datenblatt!$A$43:$A$65,1,1)=$B28,0,VLOOKUP(WEEKDAY($B28),Datenblatt!$X$46:$Z$52,3,FALSE))</f>
        <v>0</v>
      </c>
      <c r="E28" s="352">
        <f>IF(VLOOKUP($B28,Datenblatt!$A$43:$A$65,1,1)=$B28,0,IF(WEEKDAY($B28)=7,1,IF(WEEKDAY($B28)=1,0,2)))</f>
        <v>0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46377</v>
      </c>
      <c r="C29" s="157">
        <f t="shared" si="0"/>
        <v>46377</v>
      </c>
      <c r="D29" s="352">
        <f>IF(VLOOKUP($B29,Datenblatt!$A$43:$A$65,1,1)=$B29,0,VLOOKUP(WEEKDAY($B29),Datenblatt!$X$46:$Z$52,3,FALSE))</f>
        <v>8</v>
      </c>
      <c r="E29" s="352">
        <f>IF(VLOOKUP($B29,Datenblatt!$A$43:$A$65,1,1)=$B29,0,IF(WEEKDAY($B29)=7,1,IF(WEEKDAY($B29)=1,0,2)))</f>
        <v>2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46378</v>
      </c>
      <c r="C30" s="157">
        <f t="shared" si="0"/>
        <v>46378</v>
      </c>
      <c r="D30" s="352">
        <f>IF(VLOOKUP($B30,Datenblatt!$A$43:$A$65,1,1)=$B30,0,VLOOKUP(WEEKDAY($B30),Datenblatt!$X$46:$Z$52,3,FALSE))</f>
        <v>8</v>
      </c>
      <c r="E30" s="352">
        <f>IF(VLOOKUP($B30,Datenblatt!$A$43:$A$65,1,1)=$B30,0,IF(WEEKDAY($B30)=7,1,IF(WEEKDAY($B30)=1,0,2)))</f>
        <v>2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46379</v>
      </c>
      <c r="C31" s="157">
        <f t="shared" si="0"/>
        <v>46379</v>
      </c>
      <c r="D31" s="352">
        <f>IF(VLOOKUP($B31,Datenblatt!$A$43:$A$65,1,1)=$B31,0,VLOOKUP(WEEKDAY($B31),Datenblatt!$X$46:$Z$52,3,FALSE))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46380</v>
      </c>
      <c r="C32" s="157">
        <f t="shared" si="0"/>
        <v>46380</v>
      </c>
      <c r="D32" s="352">
        <f>IF(VLOOKUP($B32,Datenblatt!$A$43:$A$65,1,1)=$B32,0,VLOOKUP(WEEKDAY($B32),Datenblatt!$X$46:$Z$52,3,FALSE))</f>
        <v>0</v>
      </c>
      <c r="E32" s="352">
        <f>IF(VLOOKUP($B32,Datenblatt!$A$43:$A$65,1,1)=$B32,0,IF(WEEKDAY($B32)=7,1,IF(WEEKDAY($B32)=1,0,2)))</f>
        <v>0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>Hl. Abend</v>
      </c>
      <c r="W32" s="413"/>
      <c r="X32" s="414"/>
      <c r="AA32" s="173"/>
    </row>
    <row r="33" spans="2:128" ht="12.2" customHeight="1">
      <c r="B33" s="156">
        <f t="shared" si="4"/>
        <v>46381</v>
      </c>
      <c r="C33" s="157">
        <f t="shared" si="0"/>
        <v>46381</v>
      </c>
      <c r="D33" s="352">
        <f>IF(VLOOKUP($B33,Datenblatt!$A$43:$A$65,1,1)=$B33,0,VLOOKUP(WEEKDAY($B33),Datenblatt!$X$46:$Z$52,3,FALSE))</f>
        <v>0</v>
      </c>
      <c r="E33" s="352">
        <f>IF(VLOOKUP($B33,Datenblatt!$A$43:$A$65,1,1)=$B33,0,IF(WEEKDAY($B33)=7,1,IF(WEEKDAY($B33)=1,0,2)))</f>
        <v>0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>Christtag</v>
      </c>
      <c r="W33" s="413"/>
      <c r="X33" s="414"/>
      <c r="AA33" s="173"/>
    </row>
    <row r="34" spans="2:128" ht="12.2" customHeight="1">
      <c r="B34" s="156">
        <f t="shared" si="4"/>
        <v>46382</v>
      </c>
      <c r="C34" s="157">
        <f t="shared" si="0"/>
        <v>46382</v>
      </c>
      <c r="D34" s="352">
        <f>IF(VLOOKUP($B34,Datenblatt!$A$43:$A$65,1,1)=$B34,0,VLOOKUP(WEEKDAY($B34),Datenblatt!$X$46:$Z$52,3,FALSE))</f>
        <v>0</v>
      </c>
      <c r="E34" s="352">
        <f>IF(VLOOKUP($B34,Datenblatt!$A$43:$A$65,1,1)=$B34,0,IF(WEEKDAY($B34)=7,1,IF(WEEKDAY($B34)=1,0,2)))</f>
        <v>0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>Stephanitag</v>
      </c>
      <c r="W34" s="413"/>
      <c r="X34" s="414"/>
      <c r="AA34" s="173"/>
    </row>
    <row r="35" spans="2:128" ht="12.2" customHeight="1">
      <c r="B35" s="156">
        <f t="shared" si="4"/>
        <v>46383</v>
      </c>
      <c r="C35" s="157">
        <f t="shared" si="0"/>
        <v>46383</v>
      </c>
      <c r="D35" s="352">
        <f>IF(VLOOKUP($B35,Datenblatt!$A$43:$A$65,1,1)=$B35,0,VLOOKUP(WEEKDAY($B35),Datenblatt!$X$46:$Z$52,3,FALSE))</f>
        <v>0</v>
      </c>
      <c r="E35" s="352">
        <f>IF(VLOOKUP($B35,Datenblatt!$A$43:$A$65,1,1)=$B35,0,IF(WEEKDAY($B35)=7,1,IF(WEEKDAY($B35)=1,0,2)))</f>
        <v>0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46384</v>
      </c>
      <c r="C36" s="157">
        <f t="shared" si="0"/>
        <v>46384</v>
      </c>
      <c r="D36" s="352">
        <f>IF(VLOOKUP($B36,Datenblatt!$A$43:$A$65,1,1)=$B36,0,VLOOKUP(WEEKDAY($B36),Datenblatt!$X$46:$Z$52,3,FALSE))</f>
        <v>8</v>
      </c>
      <c r="E36" s="352">
        <f>IF(VLOOKUP($B36,Datenblatt!$A$43:$A$65,1,1)=$B36,0,IF(WEEKDAY($B36)=7,1,IF(WEEKDAY($B36)=1,0,2)))</f>
        <v>2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46385</v>
      </c>
      <c r="C37" s="157">
        <f t="shared" si="0"/>
        <v>46385</v>
      </c>
      <c r="D37" s="352">
        <f>IF(VLOOKUP($B37,Datenblatt!$A$43:$A$65,1,1)=$B37,0,VLOOKUP(WEEKDAY($B37),Datenblatt!$X$46:$Z$52,3,FALSE))</f>
        <v>8</v>
      </c>
      <c r="E37" s="352">
        <f>IF(VLOOKUP($B37,Datenblatt!$A$43:$A$65,1,1)=$B37,0,IF(WEEKDAY($B37)=7,1,IF(WEEKDAY($B37)=1,0,2)))</f>
        <v>2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46386</v>
      </c>
      <c r="C38" s="157">
        <f t="shared" si="0"/>
        <v>46386</v>
      </c>
      <c r="D38" s="352">
        <f>IF(VLOOKUP($B38,Datenblatt!$A$43:$A$65,1,1)=$B38,0,VLOOKUP(WEEKDAY($B38),Datenblatt!$X$46:$Z$52,3,FALSE))</f>
        <v>8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>
        <f t="shared" si="4"/>
        <v>46387</v>
      </c>
      <c r="C39" s="157">
        <f t="shared" si="0"/>
        <v>46387</v>
      </c>
      <c r="D39" s="352">
        <f>IF(VLOOKUP($B39,Datenblatt!$A$43:$A$65,1,1)=$B39,0,VLOOKUP(WEEKDAY($B39),Datenblatt!$X$46:$Z$52,3,FALSE))</f>
        <v>0</v>
      </c>
      <c r="E39" s="352">
        <f>IF(VLOOKUP($B39,Datenblatt!$A$43:$A$65,1,1)=$B39,0,IF(WEEKDAY($B39)=7,1,IF(WEEKDAY($B39)=1,0,2)))</f>
        <v>0</v>
      </c>
      <c r="F39" s="353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1"/>
        <v/>
      </c>
      <c r="S39" s="168" t="str">
        <f t="shared" si="2"/>
        <v/>
      </c>
      <c r="T39" s="169" t="str">
        <f t="shared" si="3"/>
        <v/>
      </c>
      <c r="U39" s="170"/>
      <c r="V39" s="415" t="str">
        <f>IF(VLOOKUP($B39,Datenblatt!$A$43:$A$66,1,1)=$B39,VLOOKUP($B39,Datenblatt!$A$43:$C$66,3,FALSE)," ")</f>
        <v>Silvester</v>
      </c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19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Dezember "&amp;Datenblatt!$F$5&amp;":"</f>
        <v>Sollstunden für Dezember 2026:</v>
      </c>
      <c r="N41" s="66"/>
      <c r="O41" s="66"/>
      <c r="P41" s="186"/>
      <c r="R41" s="187"/>
      <c r="S41" s="403">
        <f>SUM(D9:D39)</f>
        <v>146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Dezember "&amp;Datenblatt!F5&amp;":   ","Zeitdefizit im Monat Dezember "&amp;Datenblatt!F5&amp;":   ")</f>
        <v xml:space="preserve">Zeitdefizit im Monat Dezember 2026:   </v>
      </c>
      <c r="N42" s="189"/>
      <c r="O42" s="189"/>
      <c r="R42" s="190"/>
      <c r="S42" s="397">
        <f>T40-SUM(D9:D39)</f>
        <v>-146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November "&amp;Datenblatt!F5&amp;":   ","  - Zeitdefizit aus November "&amp;Datenblatt!F5&amp;":   ")</f>
        <v xml:space="preserve">  - Zeitdefizit aus November 2026:   </v>
      </c>
      <c r="S43" s="398">
        <f>Nov!S44</f>
        <v>-1732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Jänner "&amp;Datenblatt!F5+1</f>
        <v>Übertrag für Jänner 2027</v>
      </c>
      <c r="R44" s="195"/>
      <c r="S44" s="399">
        <f>S43+S42-I42</f>
        <v>-1878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195" priority="1" stopIfTrue="1" operator="equal">
      <formula>MATCH($E15,0)</formula>
    </cfRule>
    <cfRule type="expression" dxfId="1194" priority="2" stopIfTrue="1">
      <formula>"WOCHENTAG($B8)=1"</formula>
    </cfRule>
    <cfRule type="expression" dxfId="1193" priority="3" stopIfTrue="1">
      <formula>"WOCHENTAG($B8)=7"</formula>
    </cfRule>
  </conditionalFormatting>
  <conditionalFormatting sqref="B9:C9">
    <cfRule type="expression" dxfId="1192" priority="68" stopIfTrue="1">
      <formula>($E$9=1)</formula>
    </cfRule>
  </conditionalFormatting>
  <conditionalFormatting sqref="B10:C10">
    <cfRule type="expression" dxfId="1191" priority="71" stopIfTrue="1">
      <formula>($E$10=1)</formula>
    </cfRule>
  </conditionalFormatting>
  <conditionalFormatting sqref="B11:C11">
    <cfRule type="expression" dxfId="1190" priority="74" stopIfTrue="1">
      <formula>($E$11=1)</formula>
    </cfRule>
  </conditionalFormatting>
  <conditionalFormatting sqref="B12:C12">
    <cfRule type="expression" dxfId="1189" priority="77" stopIfTrue="1">
      <formula>($E$12=1)</formula>
    </cfRule>
  </conditionalFormatting>
  <conditionalFormatting sqref="B13:C13">
    <cfRule type="expression" dxfId="1188" priority="80" stopIfTrue="1">
      <formula>($E$13=1)</formula>
    </cfRule>
  </conditionalFormatting>
  <conditionalFormatting sqref="B14:C14">
    <cfRule type="expression" dxfId="1187" priority="83" stopIfTrue="1">
      <formula>($E$14=1)</formula>
    </cfRule>
  </conditionalFormatting>
  <conditionalFormatting sqref="B15:C15">
    <cfRule type="expression" dxfId="1186" priority="86" stopIfTrue="1">
      <formula>($E$15=1)</formula>
    </cfRule>
  </conditionalFormatting>
  <conditionalFormatting sqref="B16:C16">
    <cfRule type="expression" dxfId="1185" priority="89" stopIfTrue="1">
      <formula>($E$16=1)</formula>
    </cfRule>
  </conditionalFormatting>
  <conditionalFormatting sqref="B17:C17">
    <cfRule type="expression" dxfId="1184" priority="92" stopIfTrue="1">
      <formula>($E$17=1)</formula>
    </cfRule>
  </conditionalFormatting>
  <conditionalFormatting sqref="B18:C18">
    <cfRule type="expression" dxfId="1183" priority="95" stopIfTrue="1">
      <formula>($E$18=1)</formula>
    </cfRule>
  </conditionalFormatting>
  <conditionalFormatting sqref="B19:C19">
    <cfRule type="expression" dxfId="1182" priority="98" stopIfTrue="1">
      <formula>($E$19=1)</formula>
    </cfRule>
  </conditionalFormatting>
  <conditionalFormatting sqref="B20:C20">
    <cfRule type="expression" dxfId="1181" priority="101" stopIfTrue="1">
      <formula>($E$20=1)</formula>
    </cfRule>
  </conditionalFormatting>
  <conditionalFormatting sqref="B21:C21">
    <cfRule type="expression" dxfId="1180" priority="104" stopIfTrue="1">
      <formula>($E$21=1)</formula>
    </cfRule>
  </conditionalFormatting>
  <conditionalFormatting sqref="B22:C22">
    <cfRule type="expression" dxfId="1179" priority="107" stopIfTrue="1">
      <formula>($E$22=1)</formula>
    </cfRule>
  </conditionalFormatting>
  <conditionalFormatting sqref="B23:C23">
    <cfRule type="expression" dxfId="1178" priority="110" stopIfTrue="1">
      <formula>($E$23=1)</formula>
    </cfRule>
  </conditionalFormatting>
  <conditionalFormatting sqref="B24:C24">
    <cfRule type="expression" dxfId="1177" priority="113" stopIfTrue="1">
      <formula>($E$24=1)</formula>
    </cfRule>
  </conditionalFormatting>
  <conditionalFormatting sqref="B25:C25">
    <cfRule type="expression" dxfId="1176" priority="116" stopIfTrue="1">
      <formula>($E$25=1)</formula>
    </cfRule>
  </conditionalFormatting>
  <conditionalFormatting sqref="B26:C26">
    <cfRule type="expression" dxfId="1175" priority="119" stopIfTrue="1">
      <formula>($E$26=1)</formula>
    </cfRule>
  </conditionalFormatting>
  <conditionalFormatting sqref="B27:C27">
    <cfRule type="expression" dxfId="1174" priority="122" stopIfTrue="1">
      <formula>($E$27=1)</formula>
    </cfRule>
  </conditionalFormatting>
  <conditionalFormatting sqref="B28:C28">
    <cfRule type="expression" dxfId="1173" priority="125" stopIfTrue="1">
      <formula>($E$28=1)</formula>
    </cfRule>
  </conditionalFormatting>
  <conditionalFormatting sqref="B29:C29">
    <cfRule type="expression" dxfId="1172" priority="128" stopIfTrue="1">
      <formula>($E$29=1)</formula>
    </cfRule>
  </conditionalFormatting>
  <conditionalFormatting sqref="B30:C30">
    <cfRule type="expression" dxfId="1171" priority="131" stopIfTrue="1">
      <formula>($E$30=1)</formula>
    </cfRule>
  </conditionalFormatting>
  <conditionalFormatting sqref="B31:C31">
    <cfRule type="expression" dxfId="1170" priority="134" stopIfTrue="1">
      <formula>($E$31=1)</formula>
    </cfRule>
  </conditionalFormatting>
  <conditionalFormatting sqref="B32:C32">
    <cfRule type="expression" dxfId="1169" priority="137" stopIfTrue="1">
      <formula>($E$32=1)</formula>
    </cfRule>
  </conditionalFormatting>
  <conditionalFormatting sqref="B33:C33">
    <cfRule type="expression" dxfId="1168" priority="140" stopIfTrue="1">
      <formula>($E$33=1)</formula>
    </cfRule>
  </conditionalFormatting>
  <conditionalFormatting sqref="B34:C34">
    <cfRule type="expression" dxfId="1167" priority="143" stopIfTrue="1">
      <formula>($E$34=1)</formula>
    </cfRule>
  </conditionalFormatting>
  <conditionalFormatting sqref="B35:C35">
    <cfRule type="expression" dxfId="1166" priority="146" stopIfTrue="1">
      <formula>($E$35=1)</formula>
    </cfRule>
  </conditionalFormatting>
  <conditionalFormatting sqref="B36:C36">
    <cfRule type="expression" dxfId="1165" priority="149" stopIfTrue="1">
      <formula>($E$36=1)</formula>
    </cfRule>
  </conditionalFormatting>
  <conditionalFormatting sqref="B37:C37">
    <cfRule type="expression" dxfId="1164" priority="152" stopIfTrue="1">
      <formula>($E$37=1)</formula>
    </cfRule>
  </conditionalFormatting>
  <conditionalFormatting sqref="B38:C38">
    <cfRule type="expression" dxfId="1163" priority="155" stopIfTrue="1">
      <formula>($E$38=1)</formula>
    </cfRule>
  </conditionalFormatting>
  <conditionalFormatting sqref="B39:C39">
    <cfRule type="expression" dxfId="1162" priority="158" stopIfTrue="1">
      <formula>($E$39=1)</formula>
    </cfRule>
  </conditionalFormatting>
  <conditionalFormatting sqref="B9:T9 V9">
    <cfRule type="expression" dxfId="1161" priority="5" stopIfTrue="1">
      <formula>($D$9="Ersatzruhetag")</formula>
    </cfRule>
    <cfRule type="expression" dxfId="1160" priority="4" stopIfTrue="1">
      <formula>($E$9=0)</formula>
    </cfRule>
  </conditionalFormatting>
  <conditionalFormatting sqref="B10:T10 V10">
    <cfRule type="expression" dxfId="1159" priority="7" stopIfTrue="1">
      <formula>($D$10="Ersatzruhetag")</formula>
    </cfRule>
    <cfRule type="expression" dxfId="1158" priority="6" stopIfTrue="1">
      <formula>($E$10=0)</formula>
    </cfRule>
  </conditionalFormatting>
  <conditionalFormatting sqref="B11:T11 V11">
    <cfRule type="expression" dxfId="1157" priority="9" stopIfTrue="1">
      <formula>($D$11="Ersatzruhetag")</formula>
    </cfRule>
    <cfRule type="expression" dxfId="1156" priority="8" stopIfTrue="1">
      <formula>($E$11=0)</formula>
    </cfRule>
  </conditionalFormatting>
  <conditionalFormatting sqref="B12:T12 V12">
    <cfRule type="expression" dxfId="1155" priority="11" stopIfTrue="1">
      <formula>($D$12="Ersatzruhetag")</formula>
    </cfRule>
    <cfRule type="expression" dxfId="1154" priority="10" stopIfTrue="1">
      <formula>($E$12=0)</formula>
    </cfRule>
  </conditionalFormatting>
  <conditionalFormatting sqref="B13:T13 V13">
    <cfRule type="expression" dxfId="1153" priority="12" stopIfTrue="1">
      <formula>($E$13=0)</formula>
    </cfRule>
    <cfRule type="expression" dxfId="1152" priority="13" stopIfTrue="1">
      <formula>($D$13="Ersatzruhetag")</formula>
    </cfRule>
  </conditionalFormatting>
  <conditionalFormatting sqref="B14:T14 V14">
    <cfRule type="expression" dxfId="1151" priority="14" stopIfTrue="1">
      <formula>($E$14=0)</formula>
    </cfRule>
    <cfRule type="expression" dxfId="1150" priority="15" stopIfTrue="1">
      <formula>($D$14="Ersatzruhetag")</formula>
    </cfRule>
  </conditionalFormatting>
  <conditionalFormatting sqref="B15:T15 V15">
    <cfRule type="expression" dxfId="1149" priority="16" stopIfTrue="1">
      <formula>($E$15=0)</formula>
    </cfRule>
    <cfRule type="expression" dxfId="1148" priority="17" stopIfTrue="1">
      <formula>($D$15="Ersatzruhetag")</formula>
    </cfRule>
  </conditionalFormatting>
  <conditionalFormatting sqref="B16:T16 V16">
    <cfRule type="expression" dxfId="1147" priority="18" stopIfTrue="1">
      <formula>($E$16=0)</formula>
    </cfRule>
    <cfRule type="expression" dxfId="1146" priority="19" stopIfTrue="1">
      <formula>($D$16="Ersatzruhetag")</formula>
    </cfRule>
  </conditionalFormatting>
  <conditionalFormatting sqref="B17:T17 V17">
    <cfRule type="expression" dxfId="1145" priority="21" stopIfTrue="1">
      <formula>($D$17="Ersatzruhetag")</formula>
    </cfRule>
    <cfRule type="expression" dxfId="1144" priority="20" stopIfTrue="1">
      <formula>($E$17=0)</formula>
    </cfRule>
  </conditionalFormatting>
  <conditionalFormatting sqref="B18:T18 V18">
    <cfRule type="expression" dxfId="1143" priority="22" stopIfTrue="1">
      <formula>($E$18=0)</formula>
    </cfRule>
    <cfRule type="expression" dxfId="1142" priority="23" stopIfTrue="1">
      <formula>($D$18="Ersatzruhetag")</formula>
    </cfRule>
  </conditionalFormatting>
  <conditionalFormatting sqref="B19:T19 V19">
    <cfRule type="expression" dxfId="1141" priority="25" stopIfTrue="1">
      <formula>($D$19="Ersatzruhetag")</formula>
    </cfRule>
    <cfRule type="expression" dxfId="1140" priority="24" stopIfTrue="1">
      <formula>($E$19=0)</formula>
    </cfRule>
  </conditionalFormatting>
  <conditionalFormatting sqref="B20:T20 V20">
    <cfRule type="expression" dxfId="1139" priority="26" stopIfTrue="1">
      <formula>($E$20=0)</formula>
    </cfRule>
    <cfRule type="expression" dxfId="1138" priority="27" stopIfTrue="1">
      <formula>($D$20="Ersatzruhetag")</formula>
    </cfRule>
  </conditionalFormatting>
  <conditionalFormatting sqref="B21:T21 V21">
    <cfRule type="expression" dxfId="1137" priority="28" stopIfTrue="1">
      <formula>($E$21=0)</formula>
    </cfRule>
    <cfRule type="expression" dxfId="1136" priority="29" stopIfTrue="1">
      <formula>($D$21="Ersatzruhetag")</formula>
    </cfRule>
  </conditionalFormatting>
  <conditionalFormatting sqref="B22:T22 V22">
    <cfRule type="expression" dxfId="1135" priority="30" stopIfTrue="1">
      <formula>($E$22=0)</formula>
    </cfRule>
    <cfRule type="expression" dxfId="1134" priority="31" stopIfTrue="1">
      <formula>($D$22="Ersatzruhetag")</formula>
    </cfRule>
  </conditionalFormatting>
  <conditionalFormatting sqref="B23:T23 V23">
    <cfRule type="expression" dxfId="1133" priority="32" stopIfTrue="1">
      <formula>($E$23=0)</formula>
    </cfRule>
    <cfRule type="expression" dxfId="1132" priority="33" stopIfTrue="1">
      <formula>($D$23="Ersatzruhetag")</formula>
    </cfRule>
  </conditionalFormatting>
  <conditionalFormatting sqref="B24:T24 V24">
    <cfRule type="expression" dxfId="1131" priority="34" stopIfTrue="1">
      <formula>($E$24=0)</formula>
    </cfRule>
    <cfRule type="expression" dxfId="1130" priority="35" stopIfTrue="1">
      <formula>($D$24="Ersatzruhetag")</formula>
    </cfRule>
  </conditionalFormatting>
  <conditionalFormatting sqref="B25:T25 V25">
    <cfRule type="expression" dxfId="1129" priority="37" stopIfTrue="1">
      <formula>($D$25="Ersatzruhetag")</formula>
    </cfRule>
    <cfRule type="expression" dxfId="1128" priority="36" stopIfTrue="1">
      <formula>($E$25=0)</formula>
    </cfRule>
  </conditionalFormatting>
  <conditionalFormatting sqref="B26:T26 V26">
    <cfRule type="expression" dxfId="1127" priority="38" stopIfTrue="1">
      <formula>($E$26=0)</formula>
    </cfRule>
    <cfRule type="expression" dxfId="1126" priority="39" stopIfTrue="1">
      <formula>($D$26="Ersatzruhetag")</formula>
    </cfRule>
  </conditionalFormatting>
  <conditionalFormatting sqref="B27:T27 V27">
    <cfRule type="expression" dxfId="1125" priority="40" stopIfTrue="1">
      <formula>($E$27=0)</formula>
    </cfRule>
    <cfRule type="expression" dxfId="1124" priority="41" stopIfTrue="1">
      <formula>($D$27="Ersatzruhetag")</formula>
    </cfRule>
  </conditionalFormatting>
  <conditionalFormatting sqref="B28:T28 V28">
    <cfRule type="expression" dxfId="1123" priority="43" stopIfTrue="1">
      <formula>($D$28="Ersatzruhetag")</formula>
    </cfRule>
    <cfRule type="expression" dxfId="1122" priority="42" stopIfTrue="1">
      <formula>($E$28=0)</formula>
    </cfRule>
  </conditionalFormatting>
  <conditionalFormatting sqref="B29:T29 V29">
    <cfRule type="expression" dxfId="1121" priority="44" stopIfTrue="1">
      <formula>($E$29=0)</formula>
    </cfRule>
    <cfRule type="expression" dxfId="1120" priority="45" stopIfTrue="1">
      <formula>($D$29="Ersatzruhetag")</formula>
    </cfRule>
  </conditionalFormatting>
  <conditionalFormatting sqref="B30:T30 V30">
    <cfRule type="expression" dxfId="1119" priority="46" stopIfTrue="1">
      <formula>($E$30=0)</formula>
    </cfRule>
    <cfRule type="expression" dxfId="1118" priority="47" stopIfTrue="1">
      <formula>($D$30="Ersatzruhetag")</formula>
    </cfRule>
  </conditionalFormatting>
  <conditionalFormatting sqref="B31:T31 V31">
    <cfRule type="expression" dxfId="1117" priority="48" stopIfTrue="1">
      <formula>($E$31=0)</formula>
    </cfRule>
    <cfRule type="expression" dxfId="1116" priority="49" stopIfTrue="1">
      <formula>($D$31="Ersatzruhetag")</formula>
    </cfRule>
  </conditionalFormatting>
  <conditionalFormatting sqref="B32:T32 V32">
    <cfRule type="expression" dxfId="1115" priority="51" stopIfTrue="1">
      <formula>($D$32="Ersatzruhetag")</formula>
    </cfRule>
    <cfRule type="expression" dxfId="1114" priority="50" stopIfTrue="1">
      <formula>($E$32=0)</formula>
    </cfRule>
  </conditionalFormatting>
  <conditionalFormatting sqref="B33:T33 V33">
    <cfRule type="expression" dxfId="1113" priority="53" stopIfTrue="1">
      <formula>($D$33="Ersatzruhetag")</formula>
    </cfRule>
    <cfRule type="expression" dxfId="1112" priority="52" stopIfTrue="1">
      <formula>($E$33=0)</formula>
    </cfRule>
  </conditionalFormatting>
  <conditionalFormatting sqref="B34:T34 V34">
    <cfRule type="expression" dxfId="1111" priority="55" stopIfTrue="1">
      <formula>($D$34="Ersatzruhetag")</formula>
    </cfRule>
    <cfRule type="expression" dxfId="1110" priority="54" stopIfTrue="1">
      <formula>($E$34=0)</formula>
    </cfRule>
  </conditionalFormatting>
  <conditionalFormatting sqref="B35:T35 V35">
    <cfRule type="expression" dxfId="1109" priority="57" stopIfTrue="1">
      <formula>($D$35="Ersatzruhetag")</formula>
    </cfRule>
    <cfRule type="expression" dxfId="1108" priority="56" stopIfTrue="1">
      <formula>($E$35=0)</formula>
    </cfRule>
  </conditionalFormatting>
  <conditionalFormatting sqref="B36:T36 V36">
    <cfRule type="expression" dxfId="1107" priority="59" stopIfTrue="1">
      <formula>($D$36="Ersatzruhetag")</formula>
    </cfRule>
    <cfRule type="expression" dxfId="1106" priority="58" stopIfTrue="1">
      <formula>($E$36=0)</formula>
    </cfRule>
  </conditionalFormatting>
  <conditionalFormatting sqref="B37:T37 V37">
    <cfRule type="expression" dxfId="1105" priority="61" stopIfTrue="1">
      <formula>($D$37="Ersatzruhetag")</formula>
    </cfRule>
    <cfRule type="expression" dxfId="1104" priority="60" stopIfTrue="1">
      <formula>($E$37=0)</formula>
    </cfRule>
  </conditionalFormatting>
  <conditionalFormatting sqref="B38:T38 V38">
    <cfRule type="expression" dxfId="1103" priority="63" stopIfTrue="1">
      <formula>($D$38="Ersatzruhetag")</formula>
    </cfRule>
    <cfRule type="expression" dxfId="1102" priority="62" stopIfTrue="1">
      <formula>($E$38=0)</formula>
    </cfRule>
  </conditionalFormatting>
  <conditionalFormatting sqref="B39:T39 V39">
    <cfRule type="expression" dxfId="1101" priority="65" stopIfTrue="1">
      <formula>($D$39="Ersatzruhetag")</formula>
    </cfRule>
    <cfRule type="expression" dxfId="1100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9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Q60"/>
  <sheetViews>
    <sheetView showGridLines="0" topLeftCell="A6" workbookViewId="0">
      <selection activeCell="B6" sqref="B6"/>
    </sheetView>
  </sheetViews>
  <sheetFormatPr baseColWidth="10" defaultColWidth="11.42578125" defaultRowHeight="12.75"/>
  <cols>
    <col min="1" max="1" width="0.85546875" customWidth="1"/>
    <col min="2" max="2" width="9.42578125" customWidth="1"/>
    <col min="3" max="4" width="5.85546875" customWidth="1"/>
    <col min="5" max="5" width="22.85546875" customWidth="1"/>
    <col min="6" max="6" width="5.28515625" customWidth="1"/>
    <col min="7" max="7" width="18" customWidth="1"/>
    <col min="8" max="8" width="23.85546875" customWidth="1"/>
    <col min="9" max="9" width="6.85546875" customWidth="1"/>
    <col min="10" max="10" width="5.5703125" style="94" customWidth="1"/>
    <col min="11" max="11" width="0.140625" customWidth="1"/>
    <col min="12" max="12" width="8.140625" customWidth="1"/>
    <col min="13" max="13" width="7.42578125" customWidth="1"/>
    <col min="14" max="14" width="9.85546875" customWidth="1"/>
    <col min="15" max="15" width="11" customWidth="1"/>
  </cols>
  <sheetData>
    <row r="1" spans="2:15" ht="18">
      <c r="B1" s="208" t="str">
        <f>"ANTRAG AUF REISEKOSTENERSATZ von "&amp;Datenblatt!D7</f>
        <v>ANTRAG AUF REISEKOSTENERSATZ von Vorname Familienname</v>
      </c>
      <c r="G1" s="71"/>
      <c r="H1" s="71"/>
      <c r="L1" s="42"/>
    </row>
    <row r="2" spans="2:15" ht="24.95" customHeight="1">
      <c r="B2" s="209" t="str">
        <f>"Dienststelle: "&amp;Datenblatt!$D$8</f>
        <v>Dienststelle: Angabe der Funktion</v>
      </c>
      <c r="G2" s="71"/>
      <c r="H2" s="71"/>
      <c r="I2" s="441" t="s">
        <v>0</v>
      </c>
      <c r="J2" s="441"/>
      <c r="K2" s="441"/>
      <c r="L2" s="441"/>
      <c r="M2" s="441"/>
      <c r="N2" s="441"/>
    </row>
    <row r="3" spans="2:15" ht="9.9499999999999993" customHeight="1"/>
    <row r="4" spans="2:15" s="2" customFormat="1" ht="12.75" customHeight="1">
      <c r="B4" s="210" t="s">
        <v>122</v>
      </c>
      <c r="C4" s="428" t="s">
        <v>123</v>
      </c>
      <c r="D4" s="428"/>
      <c r="E4" s="211" t="s">
        <v>124</v>
      </c>
      <c r="F4" s="428" t="s">
        <v>125</v>
      </c>
      <c r="G4" s="428"/>
      <c r="H4" s="428"/>
      <c r="I4" s="212" t="s">
        <v>126</v>
      </c>
      <c r="J4" s="213" t="s">
        <v>127</v>
      </c>
      <c r="K4" s="214"/>
      <c r="L4" s="429" t="s">
        <v>128</v>
      </c>
      <c r="M4" s="429"/>
      <c r="N4" s="215" t="s">
        <v>129</v>
      </c>
      <c r="O4" s="215" t="s">
        <v>130</v>
      </c>
    </row>
    <row r="5" spans="2:15" s="2" customFormat="1" ht="13.5" customHeight="1">
      <c r="B5" s="216" t="s">
        <v>131</v>
      </c>
      <c r="C5" s="217" t="s">
        <v>132</v>
      </c>
      <c r="D5" s="218" t="s">
        <v>133</v>
      </c>
      <c r="E5" s="219" t="s">
        <v>134</v>
      </c>
      <c r="F5" s="425" t="s">
        <v>135</v>
      </c>
      <c r="G5" s="425"/>
      <c r="H5" s="425"/>
      <c r="I5" s="220" t="s">
        <v>136</v>
      </c>
      <c r="J5" s="221" t="s">
        <v>137</v>
      </c>
      <c r="K5" s="222"/>
      <c r="L5" s="223" t="s">
        <v>138</v>
      </c>
      <c r="M5" s="224" t="s">
        <v>139</v>
      </c>
      <c r="N5" s="225" t="s">
        <v>140</v>
      </c>
      <c r="O5" s="225" t="s">
        <v>141</v>
      </c>
    </row>
    <row r="6" spans="2:15" s="2" customFormat="1" ht="15.4" customHeight="1">
      <c r="B6" s="226"/>
      <c r="C6" s="227"/>
      <c r="D6" s="228"/>
      <c r="E6" s="229"/>
      <c r="F6" s="442"/>
      <c r="G6" s="442"/>
      <c r="H6" s="442"/>
      <c r="I6" s="230"/>
      <c r="J6" s="231"/>
      <c r="K6" s="64" t="b">
        <f t="shared" ref="K6:K24" si="0">IF(J6&gt;0,L6*(J6*$M$31))</f>
        <v>0</v>
      </c>
      <c r="L6" s="232"/>
      <c r="M6" s="233"/>
      <c r="N6" s="234"/>
      <c r="O6" s="234"/>
    </row>
    <row r="7" spans="2:15" s="2" customFormat="1" ht="15.4" customHeight="1">
      <c r="B7" s="235"/>
      <c r="C7" s="236"/>
      <c r="D7" s="237"/>
      <c r="E7" s="238"/>
      <c r="F7" s="439"/>
      <c r="G7" s="439"/>
      <c r="H7" s="439"/>
      <c r="I7" s="239"/>
      <c r="J7" s="240"/>
      <c r="K7" s="64" t="b">
        <f t="shared" si="0"/>
        <v>0</v>
      </c>
      <c r="L7" s="241"/>
      <c r="M7" s="242"/>
      <c r="N7" s="243"/>
      <c r="O7" s="243"/>
    </row>
    <row r="8" spans="2:15" s="2" customFormat="1" ht="15.4" customHeight="1">
      <c r="B8" s="244"/>
      <c r="C8" s="245"/>
      <c r="D8" s="246"/>
      <c r="E8" s="247"/>
      <c r="F8" s="439"/>
      <c r="G8" s="439"/>
      <c r="H8" s="439"/>
      <c r="I8" s="248"/>
      <c r="J8" s="249"/>
      <c r="K8" s="64" t="b">
        <f t="shared" si="0"/>
        <v>0</v>
      </c>
      <c r="L8" s="250"/>
      <c r="M8" s="251"/>
      <c r="N8" s="252"/>
      <c r="O8" s="252"/>
    </row>
    <row r="9" spans="2:15" s="2" customFormat="1" ht="15.4" customHeight="1">
      <c r="B9" s="244"/>
      <c r="C9" s="245"/>
      <c r="D9" s="246"/>
      <c r="E9" s="247"/>
      <c r="F9" s="439"/>
      <c r="G9" s="439"/>
      <c r="H9" s="439"/>
      <c r="I9" s="248"/>
      <c r="J9" s="249"/>
      <c r="K9" s="64" t="b">
        <f t="shared" si="0"/>
        <v>0</v>
      </c>
      <c r="L9" s="250"/>
      <c r="M9" s="251"/>
      <c r="N9" s="252"/>
      <c r="O9" s="252"/>
    </row>
    <row r="10" spans="2:15" s="2" customFormat="1" ht="15.4" customHeight="1">
      <c r="B10" s="244"/>
      <c r="C10" s="245"/>
      <c r="D10" s="246"/>
      <c r="E10" s="247"/>
      <c r="F10" s="439"/>
      <c r="G10" s="439"/>
      <c r="H10" s="439"/>
      <c r="I10" s="248"/>
      <c r="J10" s="249"/>
      <c r="K10" s="64" t="b">
        <f t="shared" si="0"/>
        <v>0</v>
      </c>
      <c r="L10" s="250"/>
      <c r="M10" s="251"/>
      <c r="N10" s="252"/>
      <c r="O10" s="252"/>
    </row>
    <row r="11" spans="2:15" s="2" customFormat="1" ht="15.4" customHeight="1">
      <c r="B11" s="244"/>
      <c r="C11" s="245"/>
      <c r="D11" s="246"/>
      <c r="E11" s="247"/>
      <c r="F11" s="439"/>
      <c r="G11" s="439"/>
      <c r="H11" s="439"/>
      <c r="I11" s="248"/>
      <c r="J11" s="249"/>
      <c r="K11" s="64" t="b">
        <f t="shared" si="0"/>
        <v>0</v>
      </c>
      <c r="L11" s="250"/>
      <c r="M11" s="251"/>
      <c r="N11" s="252"/>
      <c r="O11" s="252"/>
    </row>
    <row r="12" spans="2:15" s="2" customFormat="1" ht="15.4" customHeight="1">
      <c r="B12" s="244"/>
      <c r="C12" s="245"/>
      <c r="D12" s="246"/>
      <c r="E12" s="247"/>
      <c r="F12" s="439"/>
      <c r="G12" s="439"/>
      <c r="H12" s="439"/>
      <c r="I12" s="248"/>
      <c r="J12" s="249"/>
      <c r="K12" s="64" t="b">
        <f t="shared" si="0"/>
        <v>0</v>
      </c>
      <c r="L12" s="250"/>
      <c r="M12" s="251"/>
      <c r="N12" s="252"/>
      <c r="O12" s="252"/>
    </row>
    <row r="13" spans="2:15" s="2" customFormat="1" ht="15.4" customHeight="1">
      <c r="B13" s="244"/>
      <c r="C13" s="245"/>
      <c r="D13" s="246"/>
      <c r="E13" s="247"/>
      <c r="F13" s="439"/>
      <c r="G13" s="439"/>
      <c r="H13" s="439"/>
      <c r="I13" s="248"/>
      <c r="J13" s="249"/>
      <c r="K13" s="64" t="b">
        <f t="shared" si="0"/>
        <v>0</v>
      </c>
      <c r="L13" s="250"/>
      <c r="M13" s="251"/>
      <c r="N13" s="252"/>
      <c r="O13" s="252"/>
    </row>
    <row r="14" spans="2:15" s="2" customFormat="1" ht="15.4" customHeight="1">
      <c r="B14" s="244"/>
      <c r="C14" s="245"/>
      <c r="D14" s="246"/>
      <c r="E14" s="247"/>
      <c r="F14" s="439"/>
      <c r="G14" s="439"/>
      <c r="H14" s="439"/>
      <c r="I14" s="248"/>
      <c r="J14" s="249"/>
      <c r="K14" s="64" t="b">
        <f t="shared" si="0"/>
        <v>0</v>
      </c>
      <c r="L14" s="250"/>
      <c r="M14" s="251"/>
      <c r="N14" s="252"/>
      <c r="O14" s="252"/>
    </row>
    <row r="15" spans="2:15" s="2" customFormat="1" ht="15.4" customHeight="1">
      <c r="B15" s="244"/>
      <c r="C15" s="245"/>
      <c r="D15" s="246"/>
      <c r="E15" s="247"/>
      <c r="F15" s="439"/>
      <c r="G15" s="439"/>
      <c r="H15" s="439"/>
      <c r="I15" s="248"/>
      <c r="J15" s="249"/>
      <c r="K15" s="64" t="b">
        <f t="shared" si="0"/>
        <v>0</v>
      </c>
      <c r="L15" s="250"/>
      <c r="M15" s="251"/>
      <c r="N15" s="252"/>
      <c r="O15" s="252"/>
    </row>
    <row r="16" spans="2:15" s="2" customFormat="1" ht="15.4" customHeight="1">
      <c r="B16" s="244"/>
      <c r="C16" s="245"/>
      <c r="D16" s="246"/>
      <c r="E16" s="247"/>
      <c r="F16" s="439"/>
      <c r="G16" s="439"/>
      <c r="H16" s="439"/>
      <c r="I16" s="248"/>
      <c r="J16" s="249"/>
      <c r="K16" s="64" t="b">
        <f t="shared" si="0"/>
        <v>0</v>
      </c>
      <c r="L16" s="250"/>
      <c r="M16" s="251"/>
      <c r="N16" s="252"/>
      <c r="O16" s="252"/>
    </row>
    <row r="17" spans="2:15" s="2" customFormat="1" ht="15.4" customHeight="1">
      <c r="B17" s="244"/>
      <c r="C17" s="245"/>
      <c r="D17" s="246"/>
      <c r="E17" s="247"/>
      <c r="F17" s="439"/>
      <c r="G17" s="439"/>
      <c r="H17" s="439"/>
      <c r="I17" s="248"/>
      <c r="J17" s="249"/>
      <c r="K17" s="64" t="b">
        <f t="shared" si="0"/>
        <v>0</v>
      </c>
      <c r="L17" s="250"/>
      <c r="M17" s="251"/>
      <c r="N17" s="252"/>
      <c r="O17" s="252"/>
    </row>
    <row r="18" spans="2:15" s="2" customFormat="1" ht="15.4" customHeight="1">
      <c r="B18" s="244"/>
      <c r="C18" s="245"/>
      <c r="D18" s="246"/>
      <c r="E18" s="247"/>
      <c r="F18" s="439"/>
      <c r="G18" s="439"/>
      <c r="H18" s="439"/>
      <c r="I18" s="248"/>
      <c r="J18" s="249"/>
      <c r="K18" s="64" t="b">
        <f t="shared" si="0"/>
        <v>0</v>
      </c>
      <c r="L18" s="250"/>
      <c r="M18" s="251"/>
      <c r="N18" s="252"/>
      <c r="O18" s="252"/>
    </row>
    <row r="19" spans="2:15" s="2" customFormat="1" ht="15.4" customHeight="1">
      <c r="B19" s="244"/>
      <c r="C19" s="245"/>
      <c r="D19" s="246"/>
      <c r="E19" s="247"/>
      <c r="F19" s="439"/>
      <c r="G19" s="439"/>
      <c r="H19" s="439"/>
      <c r="I19" s="248"/>
      <c r="J19" s="249"/>
      <c r="K19" s="64" t="b">
        <f t="shared" si="0"/>
        <v>0</v>
      </c>
      <c r="L19" s="250"/>
      <c r="M19" s="251"/>
      <c r="N19" s="252"/>
      <c r="O19" s="252"/>
    </row>
    <row r="20" spans="2:15" s="2" customFormat="1" ht="15.4" customHeight="1">
      <c r="B20" s="244"/>
      <c r="C20" s="245"/>
      <c r="D20" s="246"/>
      <c r="E20" s="247"/>
      <c r="F20" s="439"/>
      <c r="G20" s="439"/>
      <c r="H20" s="439"/>
      <c r="I20" s="248"/>
      <c r="J20" s="249"/>
      <c r="K20" s="64" t="b">
        <f t="shared" si="0"/>
        <v>0</v>
      </c>
      <c r="L20" s="250"/>
      <c r="M20" s="251"/>
      <c r="N20" s="252"/>
      <c r="O20" s="252"/>
    </row>
    <row r="21" spans="2:15" s="2" customFormat="1" ht="15.4" customHeight="1">
      <c r="B21" s="244"/>
      <c r="C21" s="245"/>
      <c r="D21" s="246"/>
      <c r="E21" s="247"/>
      <c r="F21" s="439"/>
      <c r="G21" s="439"/>
      <c r="H21" s="439"/>
      <c r="I21" s="248"/>
      <c r="J21" s="249"/>
      <c r="K21" s="64" t="b">
        <f t="shared" si="0"/>
        <v>0</v>
      </c>
      <c r="L21" s="250"/>
      <c r="M21" s="251"/>
      <c r="N21" s="252"/>
      <c r="O21" s="252"/>
    </row>
    <row r="22" spans="2:15" s="2" customFormat="1" ht="15.4" customHeight="1">
      <c r="B22" s="244"/>
      <c r="C22" s="245"/>
      <c r="D22" s="246"/>
      <c r="E22" s="247"/>
      <c r="F22" s="439"/>
      <c r="G22" s="439"/>
      <c r="H22" s="439"/>
      <c r="I22" s="248"/>
      <c r="J22" s="249"/>
      <c r="K22" s="64" t="b">
        <f t="shared" si="0"/>
        <v>0</v>
      </c>
      <c r="L22" s="250"/>
      <c r="M22" s="251"/>
      <c r="N22" s="252"/>
      <c r="O22" s="252"/>
    </row>
    <row r="23" spans="2:15" s="2" customFormat="1" ht="15.4" customHeight="1">
      <c r="B23" s="244"/>
      <c r="C23" s="245"/>
      <c r="D23" s="246"/>
      <c r="E23" s="247"/>
      <c r="F23" s="439"/>
      <c r="G23" s="439"/>
      <c r="H23" s="439"/>
      <c r="I23" s="248"/>
      <c r="J23" s="249"/>
      <c r="K23" s="64" t="b">
        <f t="shared" si="0"/>
        <v>0</v>
      </c>
      <c r="L23" s="250"/>
      <c r="M23" s="251"/>
      <c r="N23" s="252"/>
      <c r="O23" s="252"/>
    </row>
    <row r="24" spans="2:15" s="2" customFormat="1" ht="15.4" customHeight="1">
      <c r="B24" s="253"/>
      <c r="C24" s="254"/>
      <c r="D24" s="255"/>
      <c r="E24" s="256"/>
      <c r="F24" s="440"/>
      <c r="G24" s="440"/>
      <c r="H24" s="440"/>
      <c r="I24" s="257"/>
      <c r="J24" s="258"/>
      <c r="K24" s="64" t="b">
        <f t="shared" si="0"/>
        <v>0</v>
      </c>
      <c r="L24" s="259"/>
      <c r="M24" s="260"/>
      <c r="N24" s="261"/>
      <c r="O24" s="261"/>
    </row>
    <row r="25" spans="2:15" s="2" customFormat="1" ht="18" customHeight="1">
      <c r="B25" s="2" t="s">
        <v>142</v>
      </c>
      <c r="J25" s="66"/>
      <c r="K25" s="262">
        <f>SUM(K6:K24)</f>
        <v>0</v>
      </c>
      <c r="L25" s="263">
        <f>SUM(L6:L24)</f>
        <v>0</v>
      </c>
      <c r="M25" s="264">
        <f>SUM(M6:M24)</f>
        <v>0</v>
      </c>
      <c r="N25" s="265">
        <f>SUM(N6:N24)</f>
        <v>0</v>
      </c>
      <c r="O25" s="265">
        <f>SUM(O6:O24)</f>
        <v>0</v>
      </c>
    </row>
    <row r="26" spans="2:15" s="2" customFormat="1" ht="14.1" customHeight="1">
      <c r="J26" s="66"/>
    </row>
    <row r="27" spans="2:15" s="2" customFormat="1" ht="14.1" customHeight="1">
      <c r="G27" s="437" t="s">
        <v>143</v>
      </c>
      <c r="H27" s="437"/>
      <c r="I27" s="266"/>
      <c r="J27" s="267"/>
      <c r="K27" s="268"/>
      <c r="L27" s="269"/>
      <c r="M27" s="270" t="s">
        <v>144</v>
      </c>
      <c r="N27" s="271"/>
      <c r="O27" s="272" t="s">
        <v>145</v>
      </c>
    </row>
    <row r="28" spans="2:15" s="2" customFormat="1" ht="14.1" customHeight="1">
      <c r="G28" s="273" t="s">
        <v>146</v>
      </c>
      <c r="H28" s="273"/>
      <c r="I28" s="274"/>
      <c r="J28" s="275"/>
      <c r="K28" s="274"/>
      <c r="L28" s="274"/>
      <c r="M28" s="276">
        <f>N25</f>
        <v>0</v>
      </c>
      <c r="N28" s="438" t="str">
        <f>IF((M28=0),"",M28)</f>
        <v/>
      </c>
      <c r="O28" s="438"/>
    </row>
    <row r="29" spans="2:15" s="2" customFormat="1" ht="14.1" customHeight="1">
      <c r="B29" s="277">
        <f ca="1">TODAY()</f>
        <v>45935</v>
      </c>
      <c r="C29" s="278"/>
      <c r="D29" s="278"/>
      <c r="E29" s="279"/>
      <c r="F29" s="66"/>
      <c r="G29" s="430" t="s">
        <v>147</v>
      </c>
      <c r="H29" s="430"/>
      <c r="I29" s="430"/>
      <c r="J29" s="431">
        <f>L25</f>
        <v>0</v>
      </c>
      <c r="K29" s="431"/>
      <c r="L29" s="431"/>
      <c r="M29" s="280">
        <v>0.5</v>
      </c>
      <c r="N29" s="432" t="str">
        <f>IF((J29*M29=0),"",J29*M29)</f>
        <v/>
      </c>
      <c r="O29" s="432"/>
    </row>
    <row r="30" spans="2:15" s="2" customFormat="1" ht="14.1" customHeight="1">
      <c r="B30" s="277"/>
      <c r="C30" s="435" t="str">
        <f>Datenblatt!D7</f>
        <v>Vorname Familienname</v>
      </c>
      <c r="D30" s="435"/>
      <c r="E30" s="435"/>
      <c r="F30" s="66"/>
      <c r="G30" s="436" t="s">
        <v>148</v>
      </c>
      <c r="H30" s="436"/>
      <c r="I30" s="436"/>
      <c r="J30" s="431">
        <f>M25</f>
        <v>0</v>
      </c>
      <c r="K30" s="431"/>
      <c r="L30" s="431"/>
      <c r="M30" s="280">
        <v>0.5</v>
      </c>
      <c r="N30" s="432" t="str">
        <f>IF((J30*M30=0),"",(M30*J30))</f>
        <v/>
      </c>
      <c r="O30" s="432"/>
    </row>
    <row r="31" spans="2:15" s="2" customFormat="1" ht="14.1" customHeight="1">
      <c r="F31" s="281"/>
      <c r="G31" s="430" t="s">
        <v>149</v>
      </c>
      <c r="H31" s="430"/>
      <c r="I31" s="430"/>
      <c r="J31" s="431"/>
      <c r="K31" s="431"/>
      <c r="L31" s="431"/>
      <c r="M31" s="280">
        <v>0.15</v>
      </c>
      <c r="N31" s="432" t="str">
        <f>IF((K25=0),"",K25)</f>
        <v/>
      </c>
      <c r="O31" s="432"/>
    </row>
    <row r="32" spans="2:15" s="2" customFormat="1" ht="14.1" customHeight="1">
      <c r="G32" s="433" t="s">
        <v>150</v>
      </c>
      <c r="H32" s="433"/>
      <c r="I32" s="433"/>
      <c r="J32" s="434"/>
      <c r="K32" s="434"/>
      <c r="L32" s="434"/>
      <c r="M32" s="282">
        <f>O25</f>
        <v>0</v>
      </c>
      <c r="N32" s="432" t="str">
        <f>IF((M32=0),"",M32)</f>
        <v/>
      </c>
      <c r="O32" s="432"/>
    </row>
    <row r="33" spans="2:17" s="2" customFormat="1" ht="18" customHeight="1">
      <c r="H33" s="283"/>
      <c r="J33" s="284" t="s">
        <v>151</v>
      </c>
      <c r="K33" s="284"/>
      <c r="L33" s="284"/>
      <c r="M33" s="284"/>
      <c r="N33" s="427">
        <f>SUM(N28:N32)</f>
        <v>0</v>
      </c>
      <c r="O33" s="427"/>
    </row>
    <row r="34" spans="2:17" s="2" customFormat="1" ht="14.1" customHeight="1">
      <c r="B34" s="278"/>
      <c r="C34" s="278"/>
      <c r="D34" s="278"/>
      <c r="E34" s="278"/>
      <c r="G34" s="2" t="s">
        <v>152</v>
      </c>
      <c r="H34"/>
      <c r="I34"/>
      <c r="J34" s="94"/>
      <c r="K34"/>
      <c r="L34"/>
      <c r="M34"/>
      <c r="N34"/>
      <c r="O34"/>
      <c r="P34"/>
      <c r="Q34"/>
    </row>
    <row r="35" spans="2:17">
      <c r="B35" s="391" t="str">
        <f>"Unm. Vorgesetzter: "&amp;Datenblatt!D39</f>
        <v>Unm. Vorgesetzter: Name des unmittelbaren Vorgesetzten</v>
      </c>
      <c r="C35" s="391"/>
      <c r="D35" s="391"/>
      <c r="E35" s="391"/>
      <c r="F35" s="2"/>
      <c r="G35" s="2" t="s">
        <v>153</v>
      </c>
      <c r="H35" s="285"/>
    </row>
    <row r="41" spans="2:17">
      <c r="B41" s="286" t="s">
        <v>154</v>
      </c>
      <c r="C41" s="286"/>
      <c r="D41" s="286"/>
      <c r="E41" s="286"/>
    </row>
    <row r="43" spans="2:17">
      <c r="B43" s="210" t="s">
        <v>122</v>
      </c>
      <c r="C43" s="428" t="s">
        <v>123</v>
      </c>
      <c r="D43" s="428"/>
      <c r="E43" s="211" t="s">
        <v>124</v>
      </c>
      <c r="F43" s="428" t="s">
        <v>125</v>
      </c>
      <c r="G43" s="428"/>
      <c r="H43" s="428"/>
      <c r="I43" s="212" t="s">
        <v>126</v>
      </c>
      <c r="J43" s="213" t="s">
        <v>127</v>
      </c>
      <c r="K43" s="214"/>
      <c r="L43" s="429" t="s">
        <v>128</v>
      </c>
      <c r="M43" s="429"/>
      <c r="N43" s="215" t="s">
        <v>129</v>
      </c>
      <c r="O43" s="215" t="s">
        <v>130</v>
      </c>
    </row>
    <row r="44" spans="2:17">
      <c r="B44" s="216" t="s">
        <v>131</v>
      </c>
      <c r="C44" s="217" t="s">
        <v>132</v>
      </c>
      <c r="D44" s="218" t="s">
        <v>133</v>
      </c>
      <c r="E44" s="219" t="s">
        <v>134</v>
      </c>
      <c r="F44" s="425" t="s">
        <v>135</v>
      </c>
      <c r="G44" s="425"/>
      <c r="H44" s="425"/>
      <c r="I44" s="220" t="s">
        <v>136</v>
      </c>
      <c r="J44" s="221" t="s">
        <v>137</v>
      </c>
      <c r="K44" s="222"/>
      <c r="L44" s="223" t="s">
        <v>138</v>
      </c>
      <c r="M44" s="224" t="s">
        <v>139</v>
      </c>
      <c r="N44" s="225" t="s">
        <v>140</v>
      </c>
      <c r="O44" s="225" t="s">
        <v>141</v>
      </c>
    </row>
    <row r="45" spans="2:17">
      <c r="B45" s="287" t="s">
        <v>93</v>
      </c>
      <c r="C45" s="288">
        <v>8</v>
      </c>
      <c r="D45" s="289">
        <v>16.5</v>
      </c>
      <c r="E45" s="290" t="s">
        <v>155</v>
      </c>
      <c r="F45" s="426" t="s">
        <v>156</v>
      </c>
      <c r="G45" s="426"/>
      <c r="H45" s="426"/>
      <c r="I45" s="291">
        <v>236</v>
      </c>
      <c r="J45" s="292">
        <v>1</v>
      </c>
      <c r="K45" s="64">
        <f>IF(J45&gt;0,L45*(J45*$M$31))</f>
        <v>9.75</v>
      </c>
      <c r="L45" s="293">
        <v>65</v>
      </c>
      <c r="M45" s="294"/>
      <c r="N45" s="295"/>
      <c r="O45" s="295"/>
    </row>
    <row r="47" spans="2:17">
      <c r="B47" s="296" t="s">
        <v>157</v>
      </c>
      <c r="C47" s="296"/>
      <c r="D47" s="296"/>
      <c r="E47" s="296" t="s">
        <v>158</v>
      </c>
      <c r="F47" s="296"/>
      <c r="G47" s="296"/>
      <c r="H47" s="296"/>
      <c r="I47" s="296"/>
      <c r="J47" s="297"/>
      <c r="K47" s="296"/>
      <c r="L47" s="296"/>
      <c r="M47" s="296"/>
      <c r="N47" s="296"/>
      <c r="O47" s="296"/>
    </row>
    <row r="48" spans="2:17" ht="20.100000000000001" customHeight="1">
      <c r="B48" s="296" t="s">
        <v>159</v>
      </c>
      <c r="C48" s="296"/>
      <c r="D48" s="296"/>
      <c r="E48" s="296" t="s">
        <v>160</v>
      </c>
      <c r="F48" s="296"/>
      <c r="G48" s="296"/>
      <c r="H48" s="296"/>
      <c r="I48" s="296"/>
      <c r="J48" s="297"/>
      <c r="K48" s="296"/>
      <c r="L48" s="296"/>
      <c r="M48" s="296"/>
      <c r="N48" s="296"/>
      <c r="O48" s="296"/>
    </row>
    <row r="49" spans="2:15" ht="20.100000000000001" customHeight="1">
      <c r="B49" s="296" t="s">
        <v>161</v>
      </c>
      <c r="C49" s="296"/>
      <c r="D49" s="296"/>
      <c r="E49" s="296" t="s">
        <v>162</v>
      </c>
      <c r="F49" s="296"/>
      <c r="G49" s="296"/>
      <c r="H49" s="296"/>
      <c r="I49" s="296"/>
      <c r="J49" s="297"/>
      <c r="K49" s="296"/>
      <c r="L49" s="296"/>
      <c r="M49" s="296"/>
      <c r="N49" s="296"/>
      <c r="O49" s="296"/>
    </row>
    <row r="50" spans="2:15" ht="12.75" customHeight="1">
      <c r="B50" s="296"/>
      <c r="C50" s="296"/>
      <c r="D50" s="296"/>
      <c r="E50" s="296" t="s">
        <v>163</v>
      </c>
      <c r="F50" s="296"/>
      <c r="G50" s="296"/>
      <c r="H50" s="296"/>
      <c r="I50" s="296"/>
      <c r="J50" s="297"/>
      <c r="K50" s="296"/>
      <c r="L50" s="296"/>
      <c r="M50" s="296"/>
      <c r="N50" s="296"/>
      <c r="O50" s="296"/>
    </row>
    <row r="51" spans="2:15">
      <c r="B51" s="296"/>
      <c r="C51" s="296"/>
      <c r="D51" s="296"/>
      <c r="E51" s="296" t="s">
        <v>164</v>
      </c>
      <c r="F51" s="296"/>
      <c r="G51" s="296"/>
      <c r="H51" s="296"/>
      <c r="I51" s="296"/>
      <c r="J51" s="297"/>
      <c r="K51" s="296"/>
      <c r="L51" s="296"/>
      <c r="M51" s="296"/>
      <c r="N51" s="296"/>
      <c r="O51" s="296"/>
    </row>
    <row r="52" spans="2:15">
      <c r="B52" s="296"/>
      <c r="C52" s="296"/>
      <c r="D52" s="296"/>
      <c r="E52" s="296" t="s">
        <v>165</v>
      </c>
      <c r="F52" s="296"/>
      <c r="G52" s="296"/>
      <c r="H52" s="296"/>
      <c r="I52" s="296"/>
      <c r="J52" s="297"/>
      <c r="K52" s="296"/>
      <c r="L52" s="296"/>
      <c r="M52" s="296"/>
      <c r="N52" s="296"/>
      <c r="O52" s="296"/>
    </row>
    <row r="53" spans="2:15">
      <c r="B53" s="296" t="s">
        <v>130</v>
      </c>
      <c r="C53" s="296"/>
      <c r="D53" s="296"/>
      <c r="E53" s="296"/>
      <c r="F53" s="296"/>
      <c r="G53" s="296"/>
      <c r="H53" s="296"/>
      <c r="I53" s="296"/>
      <c r="J53" s="297"/>
      <c r="K53" s="296"/>
      <c r="L53" s="296"/>
      <c r="M53" s="296"/>
      <c r="N53" s="296"/>
      <c r="O53" s="296"/>
    </row>
    <row r="54" spans="2:15">
      <c r="B54" s="296" t="s">
        <v>166</v>
      </c>
      <c r="C54" s="296"/>
      <c r="D54" s="296"/>
      <c r="E54" s="296" t="s">
        <v>167</v>
      </c>
      <c r="F54" s="296"/>
      <c r="G54" s="296"/>
      <c r="H54" s="296"/>
      <c r="I54" s="296"/>
      <c r="J54" s="297"/>
      <c r="K54" s="296"/>
      <c r="L54" s="296"/>
      <c r="M54" s="296"/>
      <c r="N54" s="296"/>
      <c r="O54" s="296"/>
    </row>
    <row r="55" spans="2:15">
      <c r="B55" s="296"/>
      <c r="C55" s="296"/>
      <c r="D55" s="296"/>
      <c r="E55" s="296"/>
      <c r="F55" s="296"/>
      <c r="G55" s="296"/>
      <c r="H55" s="296"/>
      <c r="I55" s="296"/>
      <c r="J55" s="297"/>
      <c r="K55" s="296"/>
      <c r="L55" s="296"/>
      <c r="M55" s="296"/>
      <c r="N55" s="296"/>
      <c r="O55" s="296"/>
    </row>
    <row r="56" spans="2:15">
      <c r="B56" s="296"/>
      <c r="C56" s="296"/>
      <c r="D56" s="296"/>
      <c r="E56" s="296"/>
      <c r="F56" s="296"/>
      <c r="G56" s="296"/>
      <c r="H56" s="296"/>
      <c r="I56" s="296"/>
      <c r="J56" s="297"/>
      <c r="K56" s="296"/>
      <c r="L56" s="296"/>
      <c r="M56" s="296"/>
      <c r="N56" s="296"/>
      <c r="O56" s="296"/>
    </row>
    <row r="57" spans="2:15">
      <c r="B57" s="296"/>
      <c r="C57" s="296"/>
      <c r="D57" s="296"/>
      <c r="E57" s="296"/>
      <c r="F57" s="296"/>
      <c r="G57" s="296"/>
      <c r="H57" s="296"/>
      <c r="I57" s="296"/>
      <c r="J57" s="297"/>
      <c r="K57" s="296"/>
      <c r="L57" s="296"/>
      <c r="M57" s="296"/>
      <c r="N57" s="296"/>
      <c r="O57" s="296"/>
    </row>
    <row r="58" spans="2:15">
      <c r="B58" s="296"/>
      <c r="C58" s="296"/>
      <c r="D58" s="296"/>
      <c r="E58" s="296"/>
      <c r="F58" s="296"/>
      <c r="G58" s="296"/>
      <c r="H58" s="296"/>
      <c r="I58" s="296"/>
      <c r="J58" s="297"/>
      <c r="K58" s="296"/>
      <c r="L58" s="296"/>
      <c r="M58" s="296"/>
      <c r="N58" s="296"/>
      <c r="O58" s="296"/>
    </row>
    <row r="59" spans="2:15">
      <c r="B59" s="296"/>
      <c r="C59" s="296"/>
      <c r="D59" s="296"/>
      <c r="E59" s="296"/>
      <c r="F59" s="296"/>
      <c r="G59" s="296"/>
      <c r="H59" s="296"/>
      <c r="I59" s="296"/>
      <c r="J59" s="297"/>
      <c r="K59" s="296"/>
      <c r="L59" s="296"/>
      <c r="M59" s="296"/>
      <c r="N59" s="296"/>
      <c r="O59" s="296"/>
    </row>
    <row r="60" spans="2:15">
      <c r="B60" s="296"/>
      <c r="C60" s="296"/>
      <c r="D60" s="296"/>
      <c r="E60" s="296"/>
      <c r="F60" s="296"/>
      <c r="G60" s="296"/>
      <c r="H60" s="296"/>
      <c r="I60" s="296"/>
      <c r="J60" s="297"/>
      <c r="K60" s="296"/>
      <c r="L60" s="296"/>
      <c r="M60" s="296"/>
      <c r="N60" s="296"/>
      <c r="O60" s="296"/>
    </row>
  </sheetData>
  <sheetProtection sheet="1" objects="1" scenarios="1" selectLockedCells="1"/>
  <mergeCells count="46">
    <mergeCell ref="C4:D4"/>
    <mergeCell ref="F4:H4"/>
    <mergeCell ref="L4:M4"/>
    <mergeCell ref="F13:H13"/>
    <mergeCell ref="F5:H5"/>
    <mergeCell ref="F6:H6"/>
    <mergeCell ref="F7:H7"/>
    <mergeCell ref="F8:H8"/>
    <mergeCell ref="I2:N2"/>
    <mergeCell ref="F15:H15"/>
    <mergeCell ref="F16:H16"/>
    <mergeCell ref="F9:H9"/>
    <mergeCell ref="F10:H10"/>
    <mergeCell ref="F11:H11"/>
    <mergeCell ref="F12:H12"/>
    <mergeCell ref="F14:H14"/>
    <mergeCell ref="F21:H21"/>
    <mergeCell ref="F22:H22"/>
    <mergeCell ref="F23:H23"/>
    <mergeCell ref="F24:H24"/>
    <mergeCell ref="F17:H17"/>
    <mergeCell ref="F18:H18"/>
    <mergeCell ref="F19:H19"/>
    <mergeCell ref="F20:H20"/>
    <mergeCell ref="C30:E30"/>
    <mergeCell ref="G30:I30"/>
    <mergeCell ref="J30:L30"/>
    <mergeCell ref="N30:O30"/>
    <mergeCell ref="G27:H27"/>
    <mergeCell ref="N28:O28"/>
    <mergeCell ref="G29:I29"/>
    <mergeCell ref="J29:L29"/>
    <mergeCell ref="N29:O29"/>
    <mergeCell ref="G31:I31"/>
    <mergeCell ref="J31:L31"/>
    <mergeCell ref="N31:O31"/>
    <mergeCell ref="G32:I32"/>
    <mergeCell ref="J32:L32"/>
    <mergeCell ref="N32:O32"/>
    <mergeCell ref="F44:H44"/>
    <mergeCell ref="F45:H45"/>
    <mergeCell ref="N33:O33"/>
    <mergeCell ref="B35:E35"/>
    <mergeCell ref="C43:D43"/>
    <mergeCell ref="F43:H43"/>
    <mergeCell ref="L43:M43"/>
  </mergeCells>
  <phoneticPr fontId="2" type="noConversion"/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40"/>
  <sheetViews>
    <sheetView showGridLines="0" workbookViewId="0">
      <selection activeCell="Q33" sqref="Q33"/>
    </sheetView>
  </sheetViews>
  <sheetFormatPr baseColWidth="10" defaultRowHeight="12.75"/>
  <cols>
    <col min="1" max="1" width="0.28515625" customWidth="1"/>
    <col min="2" max="2" width="6.28515625" style="25" customWidth="1"/>
    <col min="3" max="3" width="4.42578125" style="68" customWidth="1"/>
    <col min="4" max="4" width="6.28515625" style="25" customWidth="1"/>
    <col min="5" max="5" width="4.42578125" style="68" customWidth="1"/>
    <col min="6" max="6" width="6.28515625" style="25" customWidth="1"/>
    <col min="7" max="7" width="4.42578125" style="68" customWidth="1"/>
    <col min="8" max="8" width="6.28515625" style="25" customWidth="1"/>
    <col min="9" max="9" width="4.42578125" style="68" customWidth="1"/>
    <col min="10" max="10" width="6.28515625" style="25" customWidth="1"/>
    <col min="11" max="11" width="4.42578125" style="68" customWidth="1"/>
    <col min="12" max="12" width="6.28515625" style="25" customWidth="1"/>
    <col min="13" max="13" width="4.42578125" style="68" customWidth="1"/>
    <col min="14" max="14" width="6.28515625" style="25" customWidth="1"/>
    <col min="15" max="15" width="4.42578125" style="68" customWidth="1"/>
    <col min="16" max="16" width="6.28515625" style="25" customWidth="1"/>
    <col min="17" max="17" width="4.42578125" style="68" customWidth="1"/>
    <col min="18" max="18" width="6.28515625" style="25" customWidth="1"/>
    <col min="19" max="19" width="4.42578125" style="68" customWidth="1"/>
    <col min="20" max="20" width="6.28515625" style="25" customWidth="1"/>
    <col min="21" max="21" width="4.42578125" style="68" customWidth="1"/>
    <col min="22" max="22" width="6.28515625" style="25" customWidth="1"/>
    <col min="23" max="23" width="4.42578125" style="68" customWidth="1"/>
    <col min="24" max="24" width="6.28515625" style="25" customWidth="1"/>
    <col min="25" max="25" width="4.42578125" style="68" customWidth="1"/>
  </cols>
  <sheetData>
    <row r="1" spans="1:26" ht="18">
      <c r="E1" s="298" t="s">
        <v>0</v>
      </c>
      <c r="F1" s="129"/>
      <c r="G1" s="129"/>
      <c r="H1" s="129"/>
      <c r="I1" s="299"/>
      <c r="J1" s="300"/>
      <c r="K1" s="300"/>
      <c r="L1" s="127"/>
      <c r="M1" s="125"/>
      <c r="N1" s="125"/>
      <c r="O1" s="125"/>
    </row>
    <row r="2" spans="1:26" ht="27.95" customHeight="1">
      <c r="B2" s="301"/>
      <c r="C2" s="302"/>
      <c r="D2" s="301"/>
      <c r="E2" s="303" t="str">
        <f>Datenblatt!A2</f>
        <v>Bezeichnung der Dienststelle</v>
      </c>
      <c r="F2" s="304"/>
      <c r="G2" s="304"/>
      <c r="H2" s="304"/>
      <c r="I2" s="305"/>
      <c r="J2" s="306"/>
      <c r="K2" s="306"/>
      <c r="L2" s="307"/>
      <c r="M2" s="305"/>
      <c r="N2" s="305"/>
      <c r="O2" s="302"/>
      <c r="P2" s="301"/>
      <c r="Q2" s="302"/>
      <c r="R2" s="301"/>
      <c r="S2" s="302"/>
      <c r="T2" s="301"/>
      <c r="U2" s="302"/>
      <c r="V2" s="301"/>
      <c r="W2" s="302"/>
      <c r="X2" s="301"/>
      <c r="Y2" s="308" t="str">
        <f>Datenblatt!D8</f>
        <v>Angabe der Funktion</v>
      </c>
    </row>
    <row r="3" spans="1:26" ht="9.9499999999999993" customHeight="1"/>
    <row r="4" spans="1:26" ht="15.75">
      <c r="B4" s="309" t="str">
        <f>"Jahresübersicht Jänner - Dezember "&amp;Datenblatt!F5&amp;":"</f>
        <v>Jahresübersicht Jänner - Dezember 2026:</v>
      </c>
      <c r="F4" s="309"/>
      <c r="K4" s="309" t="str">
        <f>Datenblatt!D7</f>
        <v>Vorname Familienname</v>
      </c>
      <c r="N4" s="309"/>
      <c r="R4" s="310"/>
      <c r="T4" s="24"/>
      <c r="W4" s="445"/>
      <c r="X4" s="445"/>
    </row>
    <row r="5" spans="1:26" ht="6" customHeight="1">
      <c r="B5" s="309"/>
      <c r="F5" s="309"/>
      <c r="K5" s="309"/>
      <c r="N5" s="309"/>
      <c r="R5" s="310"/>
      <c r="T5" s="24"/>
      <c r="W5" s="311"/>
      <c r="X5" s="311"/>
    </row>
    <row r="6" spans="1:26">
      <c r="B6" s="24" t="str">
        <f>"Sollstunden im Jahr "&amp;Datenblatt!F5&amp;":"</f>
        <v>Sollstunden im Jahr 2026:</v>
      </c>
      <c r="F6" s="446">
        <f>Jän!S41+Feb!S41+März!S41+April!S41+Mai!S41+Juni!S41+Juli!S41+Aug!S41+Sept!S41+Okt!S41+Nov!S41+Dez!S41</f>
        <v>1878</v>
      </c>
      <c r="G6" s="446"/>
      <c r="H6" s="24" t="str">
        <f>IF(Datenblatt!D13&gt;=0,"Zeitguthaben per 31.12."&amp;Datenblatt!F5-1&amp;":","Zeitdefizit per 31.12."&amp;Datenblatt!F5-1&amp;":")</f>
        <v>Zeitguthaben per 31.12.2025:</v>
      </c>
      <c r="L6" s="446">
        <f>Datenblatt!D13</f>
        <v>0</v>
      </c>
      <c r="M6" s="446"/>
      <c r="P6" s="312"/>
      <c r="R6" s="313" t="str">
        <f>IF(Dez!S44&gt;=0,"Zeitguthaben per 31.12."&amp;Datenblatt!F5&amp;":","Zeitdefizit per 31.12."&amp;Datenblatt!F5&amp;":")</f>
        <v>Zeitdefizit per 31.12.2026:</v>
      </c>
      <c r="S6" s="24"/>
      <c r="T6" s="314"/>
      <c r="U6" s="313"/>
      <c r="W6" s="447">
        <f>Dez!S44</f>
        <v>-1878</v>
      </c>
      <c r="X6" s="447"/>
      <c r="Y6" s="447"/>
    </row>
    <row r="7" spans="1:26" s="2" customFormat="1" ht="12.75" customHeight="1">
      <c r="B7" s="24" t="str">
        <f>"Geleistete Arbeitsstunden:"</f>
        <v>Geleistete Arbeitsstunden:</v>
      </c>
      <c r="C7" s="315"/>
      <c r="D7" s="24"/>
      <c r="E7" s="66"/>
      <c r="F7" s="446">
        <f>Jän!T40+Feb!T40+März!T40+April!T40+Mai!T40+Juni!T40+Juli!T40+Aug!T40+Sept!T40+Okt!T40+Nov!T40+Dez!T40-K7-P7</f>
        <v>0</v>
      </c>
      <c r="G7" s="446"/>
      <c r="H7" s="24" t="str">
        <f>"Konsumierter Urlaub:"</f>
        <v>Konsumierter Urlaub:</v>
      </c>
      <c r="K7" s="446">
        <f>Jän!Q40+Feb!Q40+März!Q40+April!Q40+Mai!Q40+Juni!Q40+Juli!Q40+Aug!Q40+Sept!Q40+Okt!Q40+Nov!Q40+Dez!Q40</f>
        <v>0</v>
      </c>
      <c r="L7" s="446"/>
      <c r="M7" s="387" t="str">
        <f>"Krankenstände:"</f>
        <v>Krankenstände:</v>
      </c>
      <c r="N7" s="387"/>
      <c r="O7" s="387"/>
      <c r="P7" s="448">
        <f>Jän!P40+Feb!P40+März!P40+April!P40+Mai!P40+Juni!P40+Juli!P40+Aug!P40+Sept!P40+Okt!P40+Nov!P40+Dez!P40</f>
        <v>0</v>
      </c>
      <c r="Q7" s="448"/>
      <c r="R7" s="316" t="str">
        <f>"Resturlaub per 31.12."&amp;Datenblatt!F5&amp;":"</f>
        <v>Resturlaub per 31.12.2026:</v>
      </c>
      <c r="T7" s="316"/>
      <c r="U7" s="106"/>
      <c r="W7" s="316"/>
      <c r="X7" s="444">
        <f>Dez!T5</f>
        <v>190</v>
      </c>
      <c r="Y7" s="444"/>
      <c r="Z7" s="317"/>
    </row>
    <row r="8" spans="1:26" ht="9.9499999999999993" customHeight="1"/>
    <row r="9" spans="1:26">
      <c r="B9" s="443" t="s">
        <v>168</v>
      </c>
      <c r="C9" s="443"/>
      <c r="D9" s="443" t="s">
        <v>169</v>
      </c>
      <c r="E9" s="443"/>
      <c r="F9" s="443" t="s">
        <v>8</v>
      </c>
      <c r="G9" s="443"/>
      <c r="H9" s="443" t="s">
        <v>9</v>
      </c>
      <c r="I9" s="443"/>
      <c r="J9" s="443" t="s">
        <v>10</v>
      </c>
      <c r="K9" s="443"/>
      <c r="L9" s="443" t="s">
        <v>11</v>
      </c>
      <c r="M9" s="443"/>
      <c r="N9" s="443" t="s">
        <v>40</v>
      </c>
      <c r="O9" s="443"/>
      <c r="P9" s="443" t="s">
        <v>41</v>
      </c>
      <c r="Q9" s="443"/>
      <c r="R9" s="443" t="s">
        <v>42</v>
      </c>
      <c r="S9" s="443"/>
      <c r="T9" s="443" t="s">
        <v>43</v>
      </c>
      <c r="U9" s="443"/>
      <c r="V9" s="443" t="s">
        <v>44</v>
      </c>
      <c r="W9" s="443"/>
      <c r="X9" s="443" t="s">
        <v>45</v>
      </c>
      <c r="Y9" s="443"/>
    </row>
    <row r="10" spans="1:26" ht="12.4" customHeight="1">
      <c r="A10" s="91">
        <f>Datenblatt!A43</f>
        <v>46023</v>
      </c>
      <c r="B10" s="318">
        <f>DATE(Datenblatt!$F$5,1,1)</f>
        <v>46023</v>
      </c>
      <c r="C10" s="319" t="str">
        <f>IF(Jän!$P9&gt;0,"K",IF(Jän!$Q9&gt;0,"U",IF(Jän!$T9="","",Jän!$T9)))</f>
        <v/>
      </c>
      <c r="D10" s="318">
        <f>DATE(Datenblatt!$F$5,2,1)</f>
        <v>46054</v>
      </c>
      <c r="E10" s="319" t="str">
        <f>IF(Feb!$P9&gt;0,"K",IF(Feb!$Q9&gt;0,"U",IF(Feb!$T9="","",Feb!$T9)))</f>
        <v/>
      </c>
      <c r="F10" s="318">
        <f>DATE(Datenblatt!$F$5,3,1)</f>
        <v>46082</v>
      </c>
      <c r="G10" s="319" t="str">
        <f>IF(März!$P9&gt;0,"K",IF(März!$Q9&gt;0,"U",IF(März!$T9="","",März!$T9)))</f>
        <v/>
      </c>
      <c r="H10" s="318">
        <f>DATE(Datenblatt!$F$5,4,1)</f>
        <v>46113</v>
      </c>
      <c r="I10" s="319" t="str">
        <f>IF(April!$P9&gt;0,"K",IF(April!$Q9&gt;0,"U",IF(April!$T9="","",April!$T9)))</f>
        <v/>
      </c>
      <c r="J10" s="320">
        <f>DATE(Datenblatt!$F$5,5,1)</f>
        <v>46143</v>
      </c>
      <c r="K10" s="319" t="str">
        <f>IF(Mai!$P9&gt;0,"K",IF(Mai!$Q9&gt;0,"U",IF(Mai!$T9="","",Mai!$T9)))</f>
        <v/>
      </c>
      <c r="L10" s="318">
        <f>DATE(Datenblatt!$F$5,6,1)</f>
        <v>46174</v>
      </c>
      <c r="M10" s="319" t="str">
        <f>IF(Juni!$P9&gt;0,"K",IF(Juni!$Q9&gt;0,"U",IF(Juni!$T9="","",Juni!$T9)))</f>
        <v/>
      </c>
      <c r="N10" s="318">
        <f>DATE(Datenblatt!$F$5,7,1)</f>
        <v>46204</v>
      </c>
      <c r="O10" s="319" t="str">
        <f>IF(Juli!$P9&gt;0,"K",IF(Juli!$Q9&gt;0,"U",IF(Juli!$T9="","",Juli!$T9)))</f>
        <v/>
      </c>
      <c r="P10" s="318">
        <f>DATE(Datenblatt!$F$5,8,1)</f>
        <v>46235</v>
      </c>
      <c r="Q10" s="319" t="str">
        <f>IF(Aug!$P9&gt;0,"K",IF(Aug!$Q9&gt;0,"U",IF(Aug!$T9="","",Aug!$T9)))</f>
        <v/>
      </c>
      <c r="R10" s="318">
        <f>DATE(Datenblatt!$F$5,9,1)</f>
        <v>46266</v>
      </c>
      <c r="S10" s="319" t="str">
        <f>IF(Sept!$P9&gt;0,"K",IF(Sept!$Q9&gt;0,"U",IF(Sept!$T9="","",Sept!$T9)))</f>
        <v/>
      </c>
      <c r="T10" s="318">
        <f>DATE(Datenblatt!$F$5,10,1)</f>
        <v>46296</v>
      </c>
      <c r="U10" s="319" t="str">
        <f>IF(Okt!$P9&gt;0,"K",IF(Okt!$Q9&gt;0,"U",IF(Okt!$T9="","",Okt!$T9)))</f>
        <v/>
      </c>
      <c r="V10" s="318">
        <f>DATE(Datenblatt!$F$5,11,1)</f>
        <v>46327</v>
      </c>
      <c r="W10" s="319" t="str">
        <f>IF(Nov!$P9&gt;0,"K",IF(Nov!$Q9&gt;0,"U",IF(Nov!$T9="","",Nov!$T9)))</f>
        <v/>
      </c>
      <c r="X10" s="321">
        <f>DATE(Datenblatt!$F$5,12,1)</f>
        <v>46357</v>
      </c>
      <c r="Y10" s="322" t="str">
        <f>IF(Dez!$P9&gt;0,"K",IF(Dez!$Q9&gt;0,"U",IF(Dez!$T9="","",Dez!$T9)))</f>
        <v/>
      </c>
    </row>
    <row r="11" spans="1:26" ht="12.4" customHeight="1">
      <c r="A11" s="91">
        <f>Datenblatt!A44</f>
        <v>46028</v>
      </c>
      <c r="B11" s="318">
        <f t="shared" ref="B11:B40" si="0">B10+1</f>
        <v>46024</v>
      </c>
      <c r="C11" s="319" t="str">
        <f>IF(Jän!$P10&gt;0,"K",IF(Jän!$Q10&gt;0,"U",IF(Jän!$T10="","",Jän!$T10)))</f>
        <v/>
      </c>
      <c r="D11" s="318">
        <f t="shared" ref="D11:D37" si="1">D10+1</f>
        <v>46055</v>
      </c>
      <c r="E11" s="319" t="str">
        <f>IF(Feb!$P10&gt;0,"K",IF(Feb!$Q10&gt;0,"U",IF(Feb!$T10="","",Feb!$T10)))</f>
        <v/>
      </c>
      <c r="F11" s="318">
        <f t="shared" ref="F11:F40" si="2">F10+1</f>
        <v>46083</v>
      </c>
      <c r="G11" s="319" t="str">
        <f>IF(März!$P10&gt;0,"K",IF(März!$Q10&gt;0,"U",IF(März!$T10="","",März!$T10)))</f>
        <v/>
      </c>
      <c r="H11" s="318">
        <f t="shared" ref="H11:H39" si="3">H10+1</f>
        <v>46114</v>
      </c>
      <c r="I11" s="319" t="str">
        <f>IF(April!$P10&gt;0,"K",IF(April!$Q10&gt;0,"U",IF(April!$T10="","",April!$T10)))</f>
        <v/>
      </c>
      <c r="J11" s="323">
        <f t="shared" ref="J11:J40" si="4">J10+1</f>
        <v>46144</v>
      </c>
      <c r="K11" s="319" t="str">
        <f>IF(Mai!$P10&gt;0,"K",IF(Mai!$Q10&gt;0,"U",IF(Mai!$T10="","",Mai!$T10)))</f>
        <v/>
      </c>
      <c r="L11" s="318">
        <f t="shared" ref="L11:L39" si="5">L10+1</f>
        <v>46175</v>
      </c>
      <c r="M11" s="319" t="str">
        <f>IF(Juni!$P10&gt;0,"K",IF(Juni!$Q10&gt;0,"U",IF(Juni!$T10="","",Juni!$T10)))</f>
        <v/>
      </c>
      <c r="N11" s="318">
        <f t="shared" ref="N11:N40" si="6">N10+1</f>
        <v>46205</v>
      </c>
      <c r="O11" s="319" t="str">
        <f>IF(Juli!$P10&gt;0,"K",IF(Juli!$Q10&gt;0,"U",IF(Juli!$T10="","",Juli!$T10)))</f>
        <v/>
      </c>
      <c r="P11" s="318">
        <f t="shared" ref="P11:P40" si="7">P10+1</f>
        <v>46236</v>
      </c>
      <c r="Q11" s="319" t="str">
        <f>IF(Aug!$P10&gt;0,"K",IF(Aug!$Q10&gt;0,"U",IF(Aug!$T10="","",Aug!$T10)))</f>
        <v/>
      </c>
      <c r="R11" s="318">
        <f t="shared" ref="R11:R39" si="8">R10+1</f>
        <v>46267</v>
      </c>
      <c r="S11" s="319" t="str">
        <f>IF(Sept!$P10&gt;0,"K",IF(Sept!$Q10&gt;0,"U",IF(Sept!$T10="","",Sept!$T10)))</f>
        <v/>
      </c>
      <c r="T11" s="318">
        <f t="shared" ref="T11:T40" si="9">T10+1</f>
        <v>46297</v>
      </c>
      <c r="U11" s="319" t="str">
        <f>IF(Okt!$P10&gt;0,"K",IF(Okt!$Q10&gt;0,"U",IF(Okt!$T10="","",Okt!$T10)))</f>
        <v/>
      </c>
      <c r="V11" s="318">
        <f t="shared" ref="V11:V39" si="10">V10+1</f>
        <v>46328</v>
      </c>
      <c r="W11" s="319" t="str">
        <f>IF(Nov!$P10&gt;0,"K",IF(Nov!$Q10&gt;0,"U",IF(Nov!$T10="","",Nov!$T10)))</f>
        <v/>
      </c>
      <c r="X11" s="318">
        <f t="shared" ref="X11:X40" si="11">X10+1</f>
        <v>46358</v>
      </c>
      <c r="Y11" s="324" t="str">
        <f>IF(Dez!$P10&gt;0,"K",IF(Dez!$Q10&gt;0,"U",IF(Dez!$T10="","",Dez!$T10)))</f>
        <v/>
      </c>
    </row>
    <row r="12" spans="1:26" ht="12.4" customHeight="1">
      <c r="A12" s="91" t="str">
        <f>Datenblatt!A45</f>
        <v>nicht frei</v>
      </c>
      <c r="B12" s="318">
        <f t="shared" si="0"/>
        <v>46025</v>
      </c>
      <c r="C12" s="319" t="str">
        <f>IF(Jän!$P11&gt;0,"K",IF(Jän!$Q11&gt;0,"U",IF(Jän!$T11="","",Jän!$T11)))</f>
        <v/>
      </c>
      <c r="D12" s="318">
        <f t="shared" si="1"/>
        <v>46056</v>
      </c>
      <c r="E12" s="319" t="str">
        <f>IF(Feb!$P11&gt;0,"K",IF(Feb!$Q11&gt;0,"U",IF(Feb!$T11="","",Feb!$T11)))</f>
        <v/>
      </c>
      <c r="F12" s="318">
        <f t="shared" si="2"/>
        <v>46084</v>
      </c>
      <c r="G12" s="319" t="str">
        <f>IF(März!$P11&gt;0,"K",IF(März!$Q11&gt;0,"U",IF(März!$T11="","",März!$T11)))</f>
        <v/>
      </c>
      <c r="H12" s="318">
        <f t="shared" si="3"/>
        <v>46115</v>
      </c>
      <c r="I12" s="319" t="str">
        <f>IF(April!$P11&gt;0,"K",IF(April!$Q11&gt;0,"U",IF(April!$T11="","",April!$T11)))</f>
        <v/>
      </c>
      <c r="J12" s="318">
        <f t="shared" si="4"/>
        <v>46145</v>
      </c>
      <c r="K12" s="319" t="str">
        <f>IF(Mai!$P11&gt;0,"K",IF(Mai!$Q11&gt;0,"U",IF(Mai!$T11="","",Mai!$T11)))</f>
        <v/>
      </c>
      <c r="L12" s="318">
        <f t="shared" si="5"/>
        <v>46176</v>
      </c>
      <c r="M12" s="319" t="str">
        <f>IF(Juni!$P11&gt;0,"K",IF(Juni!$Q11&gt;0,"U",IF(Juni!$T11="","",Juni!$T11)))</f>
        <v/>
      </c>
      <c r="N12" s="318">
        <f t="shared" si="6"/>
        <v>46206</v>
      </c>
      <c r="O12" s="319" t="str">
        <f>IF(Juli!$P11&gt;0,"K",IF(Juli!$Q11&gt;0,"U",IF(Juli!$T11="","",Juli!$T11)))</f>
        <v/>
      </c>
      <c r="P12" s="318">
        <f t="shared" si="7"/>
        <v>46237</v>
      </c>
      <c r="Q12" s="319" t="str">
        <f>IF(Aug!$P11&gt;0,"K",IF(Aug!$Q11&gt;0,"U",IF(Aug!$T11="","",Aug!$T11)))</f>
        <v/>
      </c>
      <c r="R12" s="318">
        <f t="shared" si="8"/>
        <v>46268</v>
      </c>
      <c r="S12" s="319" t="str">
        <f>IF(Sept!$P11&gt;0,"K",IF(Sept!$Q11&gt;0,"U",IF(Sept!$T11="","",Sept!$T11)))</f>
        <v/>
      </c>
      <c r="T12" s="318">
        <f t="shared" si="9"/>
        <v>46298</v>
      </c>
      <c r="U12" s="319" t="str">
        <f>IF(Okt!$P11&gt;0,"K",IF(Okt!$Q11&gt;0,"U",IF(Okt!$T11="","",Okt!$T11)))</f>
        <v/>
      </c>
      <c r="V12" s="318">
        <f t="shared" si="10"/>
        <v>46329</v>
      </c>
      <c r="W12" s="319" t="str">
        <f>IF(Nov!$P11&gt;0,"K",IF(Nov!$Q11&gt;0,"U",IF(Nov!$T11="","",Nov!$T11)))</f>
        <v/>
      </c>
      <c r="X12" s="318">
        <f t="shared" si="11"/>
        <v>46359</v>
      </c>
      <c r="Y12" s="324" t="str">
        <f>IF(Dez!$P11&gt;0,"K",IF(Dez!$Q11&gt;0,"U",IF(Dez!$T11="","",Dez!$T11)))</f>
        <v/>
      </c>
    </row>
    <row r="13" spans="1:26" ht="12.4" customHeight="1">
      <c r="A13" s="91">
        <f>Datenblatt!A46</f>
        <v>46115</v>
      </c>
      <c r="B13" s="318">
        <f t="shared" si="0"/>
        <v>46026</v>
      </c>
      <c r="C13" s="319" t="str">
        <f>IF(Jän!$P12&gt;0,"K",IF(Jän!$Q12&gt;0,"U",IF(Jän!$T12="","",Jän!$T12)))</f>
        <v/>
      </c>
      <c r="D13" s="318">
        <f t="shared" si="1"/>
        <v>46057</v>
      </c>
      <c r="E13" s="319" t="str">
        <f>IF(Feb!$P12&gt;0,"K",IF(Feb!$Q12&gt;0,"U",IF(Feb!$T12="","",Feb!$T12)))</f>
        <v/>
      </c>
      <c r="F13" s="318">
        <f t="shared" si="2"/>
        <v>46085</v>
      </c>
      <c r="G13" s="319" t="str">
        <f>IF(März!$P12&gt;0,"K",IF(März!$Q12&gt;0,"U",IF(März!$T12="","",März!$T12)))</f>
        <v/>
      </c>
      <c r="H13" s="318">
        <f t="shared" si="3"/>
        <v>46116</v>
      </c>
      <c r="I13" s="319" t="str">
        <f>IF(April!$P12&gt;0,"K",IF(April!$Q12&gt;0,"U",IF(April!$T12="","",April!$T12)))</f>
        <v/>
      </c>
      <c r="J13" s="318">
        <f t="shared" si="4"/>
        <v>46146</v>
      </c>
      <c r="K13" s="319" t="str">
        <f>IF(Mai!$P12&gt;0,"K",IF(Mai!$Q12&gt;0,"U",IF(Mai!$T12="","",Mai!$T12)))</f>
        <v/>
      </c>
      <c r="L13" s="318">
        <f t="shared" si="5"/>
        <v>46177</v>
      </c>
      <c r="M13" s="319" t="str">
        <f>IF(Juni!$P12&gt;0,"K",IF(Juni!$Q12&gt;0,"U",IF(Juni!$T12="","",Juni!$T12)))</f>
        <v/>
      </c>
      <c r="N13" s="318">
        <f t="shared" si="6"/>
        <v>46207</v>
      </c>
      <c r="O13" s="319" t="str">
        <f>IF(Juli!$P12&gt;0,"K",IF(Juli!$Q12&gt;0,"U",IF(Juli!$T12="","",Juli!$T12)))</f>
        <v/>
      </c>
      <c r="P13" s="318">
        <f t="shared" si="7"/>
        <v>46238</v>
      </c>
      <c r="Q13" s="319" t="str">
        <f>IF(Aug!$P12&gt;0,"K",IF(Aug!$Q12&gt;0,"U",IF(Aug!$T12="","",Aug!$T12)))</f>
        <v/>
      </c>
      <c r="R13" s="318">
        <f t="shared" si="8"/>
        <v>46269</v>
      </c>
      <c r="S13" s="319" t="str">
        <f>IF(Sept!$P12&gt;0,"K",IF(Sept!$Q12&gt;0,"U",IF(Sept!$T12="","",Sept!$T12)))</f>
        <v/>
      </c>
      <c r="T13" s="318">
        <f t="shared" si="9"/>
        <v>46299</v>
      </c>
      <c r="U13" s="319" t="str">
        <f>IF(Okt!$P12&gt;0,"K",IF(Okt!$Q12&gt;0,"U",IF(Okt!$T12="","",Okt!$T12)))</f>
        <v/>
      </c>
      <c r="V13" s="318">
        <f t="shared" si="10"/>
        <v>46330</v>
      </c>
      <c r="W13" s="319" t="str">
        <f>IF(Nov!$P12&gt;0,"K",IF(Nov!$Q12&gt;0,"U",IF(Nov!$T12="","",Nov!$T12)))</f>
        <v/>
      </c>
      <c r="X13" s="318">
        <f t="shared" si="11"/>
        <v>46360</v>
      </c>
      <c r="Y13" s="324" t="str">
        <f>IF(Dez!$P12&gt;0,"K",IF(Dez!$Q12&gt;0,"U",IF(Dez!$T12="","",Dez!$T12)))</f>
        <v/>
      </c>
    </row>
    <row r="14" spans="1:26" ht="12.4" customHeight="1">
      <c r="A14" s="91">
        <f>Datenblatt!A47</f>
        <v>0</v>
      </c>
      <c r="B14" s="318">
        <f t="shared" si="0"/>
        <v>46027</v>
      </c>
      <c r="C14" s="319" t="str">
        <f>IF(Jän!$P13&gt;0,"K",IF(Jän!$Q13&gt;0,"U",IF(Jän!$T13="","",Jän!$T13)))</f>
        <v/>
      </c>
      <c r="D14" s="318">
        <f t="shared" si="1"/>
        <v>46058</v>
      </c>
      <c r="E14" s="319" t="str">
        <f>IF(Feb!$P13&gt;0,"K",IF(Feb!$Q13&gt;0,"U",IF(Feb!$T13="","",Feb!$T13)))</f>
        <v/>
      </c>
      <c r="F14" s="318">
        <f t="shared" si="2"/>
        <v>46086</v>
      </c>
      <c r="G14" s="319" t="str">
        <f>IF(März!$P13&gt;0,"K",IF(März!$Q13&gt;0,"U",IF(März!$T13="","",März!$T13)))</f>
        <v/>
      </c>
      <c r="H14" s="318">
        <f t="shared" si="3"/>
        <v>46117</v>
      </c>
      <c r="I14" s="319" t="str">
        <f>IF(April!$P13&gt;0,"K",IF(April!$Q13&gt;0,"U",IF(April!$T13="","",April!$T13)))</f>
        <v/>
      </c>
      <c r="J14" s="318">
        <f t="shared" si="4"/>
        <v>46147</v>
      </c>
      <c r="K14" s="319" t="str">
        <f>IF(Mai!$P13&gt;0,"K",IF(Mai!$Q13&gt;0,"U",IF(Mai!$T13="","",Mai!$T13)))</f>
        <v/>
      </c>
      <c r="L14" s="318">
        <f t="shared" si="5"/>
        <v>46178</v>
      </c>
      <c r="M14" s="319" t="str">
        <f>IF(Juni!$P13&gt;0,"K",IF(Juni!$Q13&gt;0,"U",IF(Juni!$T13="","",Juni!$T13)))</f>
        <v/>
      </c>
      <c r="N14" s="318">
        <f t="shared" si="6"/>
        <v>46208</v>
      </c>
      <c r="O14" s="319" t="str">
        <f>IF(Juli!$P13&gt;0,"K",IF(Juli!$Q13&gt;0,"U",IF(Juli!$T13="","",Juli!$T13)))</f>
        <v/>
      </c>
      <c r="P14" s="318">
        <f t="shared" si="7"/>
        <v>46239</v>
      </c>
      <c r="Q14" s="319" t="str">
        <f>IF(Aug!$P13&gt;0,"K",IF(Aug!$Q13&gt;0,"U",IF(Aug!$T13="","",Aug!$T13)))</f>
        <v/>
      </c>
      <c r="R14" s="318">
        <f t="shared" si="8"/>
        <v>46270</v>
      </c>
      <c r="S14" s="319" t="str">
        <f>IF(Sept!$P13&gt;0,"K",IF(Sept!$Q13&gt;0,"U",IF(Sept!$T13="","",Sept!$T13)))</f>
        <v/>
      </c>
      <c r="T14" s="318">
        <f t="shared" si="9"/>
        <v>46300</v>
      </c>
      <c r="U14" s="319" t="str">
        <f>IF(Okt!$P13&gt;0,"K",IF(Okt!$Q13&gt;0,"U",IF(Okt!$T13="","",Okt!$T13)))</f>
        <v/>
      </c>
      <c r="V14" s="318">
        <f t="shared" si="10"/>
        <v>46331</v>
      </c>
      <c r="W14" s="319" t="str">
        <f>IF(Nov!$P13&gt;0,"K",IF(Nov!$Q13&gt;0,"U",IF(Nov!$T13="","",Nov!$T13)))</f>
        <v/>
      </c>
      <c r="X14" s="318">
        <f t="shared" si="11"/>
        <v>46361</v>
      </c>
      <c r="Y14" s="324" t="str">
        <f>IF(Dez!$P13&gt;0,"K",IF(Dez!$Q13&gt;0,"U",IF(Dez!$T13="","",Dez!$T13)))</f>
        <v/>
      </c>
    </row>
    <row r="15" spans="1:26" ht="12.4" customHeight="1">
      <c r="A15" s="91">
        <f>Datenblatt!A48</f>
        <v>46117</v>
      </c>
      <c r="B15" s="318">
        <f t="shared" si="0"/>
        <v>46028</v>
      </c>
      <c r="C15" s="319" t="str">
        <f>IF(Jän!$P14&gt;0,"K",IF(Jän!$Q14&gt;0,"U",IF(Jän!$T14="","",Jän!$T14)))</f>
        <v/>
      </c>
      <c r="D15" s="318">
        <f t="shared" si="1"/>
        <v>46059</v>
      </c>
      <c r="E15" s="319" t="str">
        <f>IF(Feb!$P14&gt;0,"K",IF(Feb!$Q14&gt;0,"U",IF(Feb!$T14="","",Feb!$T14)))</f>
        <v/>
      </c>
      <c r="F15" s="318">
        <f t="shared" si="2"/>
        <v>46087</v>
      </c>
      <c r="G15" s="319" t="str">
        <f>IF(März!$P14&gt;0,"K",IF(März!$Q14&gt;0,"U",IF(März!$T14="","",März!$T14)))</f>
        <v/>
      </c>
      <c r="H15" s="318">
        <f t="shared" si="3"/>
        <v>46118</v>
      </c>
      <c r="I15" s="319" t="str">
        <f>IF(April!$P14&gt;0,"K",IF(April!$Q14&gt;0,"U",IF(April!$T14="","",April!$T14)))</f>
        <v/>
      </c>
      <c r="J15" s="318">
        <f t="shared" si="4"/>
        <v>46148</v>
      </c>
      <c r="K15" s="319" t="str">
        <f>IF(Mai!$P14&gt;0,"K",IF(Mai!$Q14&gt;0,"U",IF(Mai!$T14="","",Mai!$T14)))</f>
        <v/>
      </c>
      <c r="L15" s="318">
        <f t="shared" si="5"/>
        <v>46179</v>
      </c>
      <c r="M15" s="319" t="str">
        <f>IF(Juni!$P14&gt;0,"K",IF(Juni!$Q14&gt;0,"U",IF(Juni!$T14="","",Juni!$T14)))</f>
        <v/>
      </c>
      <c r="N15" s="318">
        <f t="shared" si="6"/>
        <v>46209</v>
      </c>
      <c r="O15" s="319" t="str">
        <f>IF(Juli!$P14&gt;0,"K",IF(Juli!$Q14&gt;0,"U",IF(Juli!$T14="","",Juli!$T14)))</f>
        <v/>
      </c>
      <c r="P15" s="318">
        <f t="shared" si="7"/>
        <v>46240</v>
      </c>
      <c r="Q15" s="319" t="str">
        <f>IF(Aug!$P14&gt;0,"K",IF(Aug!$Q14&gt;0,"U",IF(Aug!$T14="","",Aug!$T14)))</f>
        <v/>
      </c>
      <c r="R15" s="318">
        <f t="shared" si="8"/>
        <v>46271</v>
      </c>
      <c r="S15" s="319" t="str">
        <f>IF(Sept!$P14&gt;0,"K",IF(Sept!$Q14&gt;0,"U",IF(Sept!$T14="","",Sept!$T14)))</f>
        <v/>
      </c>
      <c r="T15" s="318">
        <f t="shared" si="9"/>
        <v>46301</v>
      </c>
      <c r="U15" s="319" t="str">
        <f>IF(Okt!$P14&gt;0,"K",IF(Okt!$Q14&gt;0,"U",IF(Okt!$T14="","",Okt!$T14)))</f>
        <v/>
      </c>
      <c r="V15" s="318">
        <f t="shared" si="10"/>
        <v>46332</v>
      </c>
      <c r="W15" s="319" t="str">
        <f>IF(Nov!$P14&gt;0,"K",IF(Nov!$Q14&gt;0,"U",IF(Nov!$T14="","",Nov!$T14)))</f>
        <v/>
      </c>
      <c r="X15" s="318">
        <f t="shared" si="11"/>
        <v>46362</v>
      </c>
      <c r="Y15" s="324" t="str">
        <f>IF(Dez!$P14&gt;0,"K",IF(Dez!$Q14&gt;0,"U",IF(Dez!$T14="","",Dez!$T14)))</f>
        <v/>
      </c>
    </row>
    <row r="16" spans="1:26" ht="12.4" customHeight="1">
      <c r="A16" s="91">
        <f>Datenblatt!A49</f>
        <v>46118</v>
      </c>
      <c r="B16" s="318">
        <f t="shared" si="0"/>
        <v>46029</v>
      </c>
      <c r="C16" s="319" t="str">
        <f>IF(Jän!$P15&gt;0,"K",IF(Jän!$Q15&gt;0,"U",IF(Jän!$T15="","",Jän!$T15)))</f>
        <v/>
      </c>
      <c r="D16" s="318">
        <f t="shared" si="1"/>
        <v>46060</v>
      </c>
      <c r="E16" s="319" t="str">
        <f>IF(Feb!$P15&gt;0,"K",IF(Feb!$Q15&gt;0,"U",IF(Feb!$T15="","",Feb!$T15)))</f>
        <v/>
      </c>
      <c r="F16" s="318">
        <f t="shared" si="2"/>
        <v>46088</v>
      </c>
      <c r="G16" s="319" t="str">
        <f>IF(März!$P15&gt;0,"K",IF(März!$Q15&gt;0,"U",IF(März!$T15="","",März!$T15)))</f>
        <v/>
      </c>
      <c r="H16" s="318">
        <f t="shared" si="3"/>
        <v>46119</v>
      </c>
      <c r="I16" s="319" t="str">
        <f>IF(April!$P15&gt;0,"K",IF(April!$Q15&gt;0,"U",IF(April!$T15="","",April!$T15)))</f>
        <v/>
      </c>
      <c r="J16" s="318">
        <f t="shared" si="4"/>
        <v>46149</v>
      </c>
      <c r="K16" s="319" t="str">
        <f>IF(Mai!$P15&gt;0,"K",IF(Mai!$Q15&gt;0,"U",IF(Mai!$T15="","",Mai!$T15)))</f>
        <v/>
      </c>
      <c r="L16" s="318">
        <f t="shared" si="5"/>
        <v>46180</v>
      </c>
      <c r="M16" s="319" t="str">
        <f>IF(Juni!$P15&gt;0,"K",IF(Juni!$Q15&gt;0,"U",IF(Juni!$T15="","",Juni!$T15)))</f>
        <v/>
      </c>
      <c r="N16" s="318">
        <f t="shared" si="6"/>
        <v>46210</v>
      </c>
      <c r="O16" s="319" t="str">
        <f>IF(Juli!$P15&gt;0,"K",IF(Juli!$Q15&gt;0,"U",IF(Juli!$T15="","",Juli!$T15)))</f>
        <v/>
      </c>
      <c r="P16" s="318">
        <f t="shared" si="7"/>
        <v>46241</v>
      </c>
      <c r="Q16" s="319" t="str">
        <f>IF(Aug!$P15&gt;0,"K",IF(Aug!$Q15&gt;0,"U",IF(Aug!$T15="","",Aug!$T15)))</f>
        <v/>
      </c>
      <c r="R16" s="318">
        <f t="shared" si="8"/>
        <v>46272</v>
      </c>
      <c r="S16" s="319" t="str">
        <f>IF(Sept!$P15&gt;0,"K",IF(Sept!$Q15&gt;0,"U",IF(Sept!$T15="","",Sept!$T15)))</f>
        <v/>
      </c>
      <c r="T16" s="318">
        <f t="shared" si="9"/>
        <v>46302</v>
      </c>
      <c r="U16" s="319" t="str">
        <f>IF(Okt!$P15&gt;0,"K",IF(Okt!$Q15&gt;0,"U",IF(Okt!$T15="","",Okt!$T15)))</f>
        <v/>
      </c>
      <c r="V16" s="318">
        <f t="shared" si="10"/>
        <v>46333</v>
      </c>
      <c r="W16" s="319" t="str">
        <f>IF(Nov!$P15&gt;0,"K",IF(Nov!$Q15&gt;0,"U",IF(Nov!$T15="","",Nov!$T15)))</f>
        <v/>
      </c>
      <c r="X16" s="318">
        <f t="shared" si="11"/>
        <v>46363</v>
      </c>
      <c r="Y16" s="324" t="str">
        <f>IF(Dez!$P15&gt;0,"K",IF(Dez!$Q15&gt;0,"U",IF(Dez!$T15="","",Dez!$T15)))</f>
        <v/>
      </c>
    </row>
    <row r="17" spans="1:25" ht="12.4" customHeight="1">
      <c r="A17" s="91" t="str">
        <f>Datenblatt!A50</f>
        <v>nicht frei</v>
      </c>
      <c r="B17" s="318">
        <f t="shared" si="0"/>
        <v>46030</v>
      </c>
      <c r="C17" s="319" t="str">
        <f>IF(Jän!$P16&gt;0,"K",IF(Jän!$Q16&gt;0,"U",IF(Jän!$T16="","",Jän!$T16)))</f>
        <v/>
      </c>
      <c r="D17" s="318">
        <f t="shared" si="1"/>
        <v>46061</v>
      </c>
      <c r="E17" s="319" t="str">
        <f>IF(Feb!$P16&gt;0,"K",IF(Feb!$Q16&gt;0,"U",IF(Feb!$T16="","",Feb!$T16)))</f>
        <v/>
      </c>
      <c r="F17" s="318">
        <f t="shared" si="2"/>
        <v>46089</v>
      </c>
      <c r="G17" s="319" t="str">
        <f>IF(März!$P16&gt;0,"K",IF(März!$Q16&gt;0,"U",IF(März!$T16="","",März!$T16)))</f>
        <v/>
      </c>
      <c r="H17" s="318">
        <f t="shared" si="3"/>
        <v>46120</v>
      </c>
      <c r="I17" s="319" t="str">
        <f>IF(April!$P16&gt;0,"K",IF(April!$Q16&gt;0,"U",IF(April!$T16="","",April!$T16)))</f>
        <v/>
      </c>
      <c r="J17" s="318">
        <f t="shared" si="4"/>
        <v>46150</v>
      </c>
      <c r="K17" s="319" t="str">
        <f>IF(Mai!$P16&gt;0,"K",IF(Mai!$Q16&gt;0,"U",IF(Mai!$T16="","",Mai!$T16)))</f>
        <v/>
      </c>
      <c r="L17" s="318">
        <f t="shared" si="5"/>
        <v>46181</v>
      </c>
      <c r="M17" s="319" t="str">
        <f>IF(Juni!$P16&gt;0,"K",IF(Juni!$Q16&gt;0,"U",IF(Juni!$T16="","",Juni!$T16)))</f>
        <v/>
      </c>
      <c r="N17" s="318">
        <f t="shared" si="6"/>
        <v>46211</v>
      </c>
      <c r="O17" s="319" t="str">
        <f>IF(Juli!$P16&gt;0,"K",IF(Juli!$Q16&gt;0,"U",IF(Juli!$T16="","",Juli!$T16)))</f>
        <v/>
      </c>
      <c r="P17" s="318">
        <f t="shared" si="7"/>
        <v>46242</v>
      </c>
      <c r="Q17" s="319" t="str">
        <f>IF(Aug!$P16&gt;0,"K",IF(Aug!$Q16&gt;0,"U",IF(Aug!$T16="","",Aug!$T16)))</f>
        <v/>
      </c>
      <c r="R17" s="318">
        <f t="shared" si="8"/>
        <v>46273</v>
      </c>
      <c r="S17" s="319" t="str">
        <f>IF(Sept!$P16&gt;0,"K",IF(Sept!$Q16&gt;0,"U",IF(Sept!$T16="","",Sept!$T16)))</f>
        <v/>
      </c>
      <c r="T17" s="318">
        <f t="shared" si="9"/>
        <v>46303</v>
      </c>
      <c r="U17" s="319" t="str">
        <f>IF(Okt!$P16&gt;0,"K",IF(Okt!$Q16&gt;0,"U",IF(Okt!$T16="","",Okt!$T16)))</f>
        <v/>
      </c>
      <c r="V17" s="318">
        <f t="shared" si="10"/>
        <v>46334</v>
      </c>
      <c r="W17" s="319" t="str">
        <f>IF(Nov!$P16&gt;0,"K",IF(Nov!$Q16&gt;0,"U",IF(Nov!$T16="","",Nov!$T16)))</f>
        <v/>
      </c>
      <c r="X17" s="318">
        <f t="shared" si="11"/>
        <v>46364</v>
      </c>
      <c r="Y17" s="324" t="str">
        <f>IF(Dez!$P16&gt;0,"K",IF(Dez!$Q16&gt;0,"U",IF(Dez!$T16="","",Dez!$T16)))</f>
        <v/>
      </c>
    </row>
    <row r="18" spans="1:25" ht="12.4" customHeight="1">
      <c r="A18" s="91">
        <f>Datenblatt!A51</f>
        <v>46143</v>
      </c>
      <c r="B18" s="318">
        <f t="shared" si="0"/>
        <v>46031</v>
      </c>
      <c r="C18" s="319" t="str">
        <f>IF(Jän!$P17&gt;0,"K",IF(Jän!$Q17&gt;0,"U",IF(Jän!$T17="","",Jän!$T17)))</f>
        <v/>
      </c>
      <c r="D18" s="318">
        <f t="shared" si="1"/>
        <v>46062</v>
      </c>
      <c r="E18" s="319" t="str">
        <f>IF(Feb!$P17&gt;0,"K",IF(Feb!$Q17&gt;0,"U",IF(Feb!$T17="","",Feb!$T17)))</f>
        <v/>
      </c>
      <c r="F18" s="318">
        <f t="shared" si="2"/>
        <v>46090</v>
      </c>
      <c r="G18" s="319" t="str">
        <f>IF(März!$P17&gt;0,"K",IF(März!$Q17&gt;0,"U",IF(März!$T17="","",März!$T17)))</f>
        <v/>
      </c>
      <c r="H18" s="318">
        <f t="shared" si="3"/>
        <v>46121</v>
      </c>
      <c r="I18" s="319" t="str">
        <f>IF(April!$P17&gt;0,"K",IF(April!$Q17&gt;0,"U",IF(April!$T17="","",April!$T17)))</f>
        <v/>
      </c>
      <c r="J18" s="318">
        <f t="shared" si="4"/>
        <v>46151</v>
      </c>
      <c r="K18" s="319" t="str">
        <f>IF(Mai!$P17&gt;0,"K",IF(Mai!$Q17&gt;0,"U",IF(Mai!$T17="","",Mai!$T17)))</f>
        <v/>
      </c>
      <c r="L18" s="318">
        <f t="shared" si="5"/>
        <v>46182</v>
      </c>
      <c r="M18" s="319" t="str">
        <f>IF(Juni!$P17&gt;0,"K",IF(Juni!$Q17&gt;0,"U",IF(Juni!$T17="","",Juni!$T17)))</f>
        <v/>
      </c>
      <c r="N18" s="318">
        <f t="shared" si="6"/>
        <v>46212</v>
      </c>
      <c r="O18" s="319" t="str">
        <f>IF(Juli!$P17&gt;0,"K",IF(Juli!$Q17&gt;0,"U",IF(Juli!$T17="","",Juli!$T17)))</f>
        <v/>
      </c>
      <c r="P18" s="318">
        <f t="shared" si="7"/>
        <v>46243</v>
      </c>
      <c r="Q18" s="319" t="str">
        <f>IF(Aug!$P17&gt;0,"K",IF(Aug!$Q17&gt;0,"U",IF(Aug!$T17="","",Aug!$T17)))</f>
        <v/>
      </c>
      <c r="R18" s="318">
        <f t="shared" si="8"/>
        <v>46274</v>
      </c>
      <c r="S18" s="319" t="str">
        <f>IF(Sept!$P17&gt;0,"K",IF(Sept!$Q17&gt;0,"U",IF(Sept!$T17="","",Sept!$T17)))</f>
        <v/>
      </c>
      <c r="T18" s="318">
        <f t="shared" si="9"/>
        <v>46304</v>
      </c>
      <c r="U18" s="319" t="str">
        <f>IF(Okt!$P17&gt;0,"K",IF(Okt!$Q17&gt;0,"U",IF(Okt!$T17="","",Okt!$T17)))</f>
        <v/>
      </c>
      <c r="V18" s="318">
        <f t="shared" si="10"/>
        <v>46335</v>
      </c>
      <c r="W18" s="319" t="str">
        <f>IF(Nov!$P17&gt;0,"K",IF(Nov!$Q17&gt;0,"U",IF(Nov!$T17="","",Nov!$T17)))</f>
        <v/>
      </c>
      <c r="X18" s="318">
        <f t="shared" si="11"/>
        <v>46365</v>
      </c>
      <c r="Y18" s="324" t="str">
        <f>IF(Dez!$P17&gt;0,"K",IF(Dez!$Q17&gt;0,"U",IF(Dez!$T17="","",Dez!$T17)))</f>
        <v/>
      </c>
    </row>
    <row r="19" spans="1:25" ht="12.4" customHeight="1">
      <c r="A19" s="91">
        <f>Datenblatt!A52</f>
        <v>46156</v>
      </c>
      <c r="B19" s="318">
        <f t="shared" si="0"/>
        <v>46032</v>
      </c>
      <c r="C19" s="319" t="str">
        <f>IF(Jän!$P18&gt;0,"K",IF(Jän!$Q18&gt;0,"U",IF(Jän!$T18="","",Jän!$T18)))</f>
        <v/>
      </c>
      <c r="D19" s="318">
        <f t="shared" si="1"/>
        <v>46063</v>
      </c>
      <c r="E19" s="319" t="str">
        <f>IF(Feb!$P18&gt;0,"K",IF(Feb!$Q18&gt;0,"U",IF(Feb!$T18="","",Feb!$T18)))</f>
        <v/>
      </c>
      <c r="F19" s="318">
        <f t="shared" si="2"/>
        <v>46091</v>
      </c>
      <c r="G19" s="319" t="str">
        <f>IF(März!$P18&gt;0,"K",IF(März!$Q18&gt;0,"U",IF(März!$T18="","",März!$T18)))</f>
        <v/>
      </c>
      <c r="H19" s="318">
        <f t="shared" si="3"/>
        <v>46122</v>
      </c>
      <c r="I19" s="319" t="str">
        <f>IF(April!$P18&gt;0,"K",IF(April!$Q18&gt;0,"U",IF(April!$T18="","",April!$T18)))</f>
        <v/>
      </c>
      <c r="J19" s="318">
        <f t="shared" si="4"/>
        <v>46152</v>
      </c>
      <c r="K19" s="319" t="str">
        <f>IF(Mai!$P18&gt;0,"K",IF(Mai!$Q18&gt;0,"U",IF(Mai!$T18="","",Mai!$T18)))</f>
        <v/>
      </c>
      <c r="L19" s="318">
        <f t="shared" si="5"/>
        <v>46183</v>
      </c>
      <c r="M19" s="319" t="str">
        <f>IF(Juni!$P18&gt;0,"K",IF(Juni!$Q18&gt;0,"U",IF(Juni!$T18="","",Juni!$T18)))</f>
        <v/>
      </c>
      <c r="N19" s="318">
        <f t="shared" si="6"/>
        <v>46213</v>
      </c>
      <c r="O19" s="319" t="str">
        <f>IF(Juli!$P18&gt;0,"K",IF(Juli!$Q18&gt;0,"U",IF(Juli!$T18="","",Juli!$T18)))</f>
        <v/>
      </c>
      <c r="P19" s="318">
        <f t="shared" si="7"/>
        <v>46244</v>
      </c>
      <c r="Q19" s="319" t="str">
        <f>IF(Aug!$P18&gt;0,"K",IF(Aug!$Q18&gt;0,"U",IF(Aug!$T18="","",Aug!$T18)))</f>
        <v/>
      </c>
      <c r="R19" s="318">
        <f t="shared" si="8"/>
        <v>46275</v>
      </c>
      <c r="S19" s="319" t="str">
        <f>IF(Sept!$P18&gt;0,"K",IF(Sept!$Q18&gt;0,"U",IF(Sept!$T18="","",Sept!$T18)))</f>
        <v/>
      </c>
      <c r="T19" s="318">
        <f t="shared" si="9"/>
        <v>46305</v>
      </c>
      <c r="U19" s="319" t="str">
        <f>IF(Okt!$P18&gt;0,"K",IF(Okt!$Q18&gt;0,"U",IF(Okt!$T18="","",Okt!$T18)))</f>
        <v/>
      </c>
      <c r="V19" s="318">
        <f t="shared" si="10"/>
        <v>46336</v>
      </c>
      <c r="W19" s="319" t="str">
        <f>IF(Nov!$P18&gt;0,"K",IF(Nov!$Q18&gt;0,"U",IF(Nov!$T18="","",Nov!$T18)))</f>
        <v/>
      </c>
      <c r="X19" s="318">
        <f t="shared" si="11"/>
        <v>46366</v>
      </c>
      <c r="Y19" s="324" t="str">
        <f>IF(Dez!$P18&gt;0,"K",IF(Dez!$Q18&gt;0,"U",IF(Dez!$T18="","",Dez!$T18)))</f>
        <v/>
      </c>
    </row>
    <row r="20" spans="1:25" ht="12.4" customHeight="1">
      <c r="A20" s="91">
        <f>Datenblatt!A53</f>
        <v>46166</v>
      </c>
      <c r="B20" s="318">
        <f t="shared" si="0"/>
        <v>46033</v>
      </c>
      <c r="C20" s="319" t="str">
        <f>IF(Jän!$P19&gt;0,"K",IF(Jän!$Q19&gt;0,"U",IF(Jän!$T19="","",Jän!$T19)))</f>
        <v/>
      </c>
      <c r="D20" s="318">
        <f t="shared" si="1"/>
        <v>46064</v>
      </c>
      <c r="E20" s="319" t="str">
        <f>IF(Feb!$P19&gt;0,"K",IF(Feb!$Q19&gt;0,"U",IF(Feb!$T19="","",Feb!$T19)))</f>
        <v/>
      </c>
      <c r="F20" s="318">
        <f t="shared" si="2"/>
        <v>46092</v>
      </c>
      <c r="G20" s="319" t="str">
        <f>IF(März!$P19&gt;0,"K",IF(März!$Q19&gt;0,"U",IF(März!$T19="","",März!$T19)))</f>
        <v/>
      </c>
      <c r="H20" s="318">
        <f t="shared" si="3"/>
        <v>46123</v>
      </c>
      <c r="I20" s="319" t="str">
        <f>IF(April!$P19&gt;0,"K",IF(April!$Q19&gt;0,"U",IF(April!$T19="","",April!$T19)))</f>
        <v/>
      </c>
      <c r="J20" s="318">
        <f t="shared" si="4"/>
        <v>46153</v>
      </c>
      <c r="K20" s="319" t="str">
        <f>IF(Mai!$P19&gt;0,"K",IF(Mai!$Q19&gt;0,"U",IF(Mai!$T19="","",Mai!$T19)))</f>
        <v/>
      </c>
      <c r="L20" s="318">
        <f t="shared" si="5"/>
        <v>46184</v>
      </c>
      <c r="M20" s="319" t="str">
        <f>IF(Juni!$P19&gt;0,"K",IF(Juni!$Q19&gt;0,"U",IF(Juni!$T19="","",Juni!$T19)))</f>
        <v/>
      </c>
      <c r="N20" s="318">
        <f t="shared" si="6"/>
        <v>46214</v>
      </c>
      <c r="O20" s="319" t="str">
        <f>IF(Juli!$P19&gt;0,"K",IF(Juli!$Q19&gt;0,"U",IF(Juli!$T19="","",Juli!$T19)))</f>
        <v/>
      </c>
      <c r="P20" s="318">
        <f t="shared" si="7"/>
        <v>46245</v>
      </c>
      <c r="Q20" s="319" t="str">
        <f>IF(Aug!$P19&gt;0,"K",IF(Aug!$Q19&gt;0,"U",IF(Aug!$T19="","",Aug!$T19)))</f>
        <v/>
      </c>
      <c r="R20" s="318">
        <f t="shared" si="8"/>
        <v>46276</v>
      </c>
      <c r="S20" s="319" t="str">
        <f>IF(Sept!$P19&gt;0,"K",IF(Sept!$Q19&gt;0,"U",IF(Sept!$T19="","",Sept!$T19)))</f>
        <v/>
      </c>
      <c r="T20" s="318">
        <f t="shared" si="9"/>
        <v>46306</v>
      </c>
      <c r="U20" s="319" t="str">
        <f>IF(Okt!$P19&gt;0,"K",IF(Okt!$Q19&gt;0,"U",IF(Okt!$T19="","",Okt!$T19)))</f>
        <v/>
      </c>
      <c r="V20" s="318">
        <f t="shared" si="10"/>
        <v>46337</v>
      </c>
      <c r="W20" s="319" t="str">
        <f>IF(Nov!$P19&gt;0,"K",IF(Nov!$Q19&gt;0,"U",IF(Nov!$T19="","",Nov!$T19)))</f>
        <v/>
      </c>
      <c r="X20" s="318">
        <f t="shared" si="11"/>
        <v>46367</v>
      </c>
      <c r="Y20" s="324" t="str">
        <f>IF(Dez!$P19&gt;0,"K",IF(Dez!$Q19&gt;0,"U",IF(Dez!$T19="","",Dez!$T19)))</f>
        <v/>
      </c>
    </row>
    <row r="21" spans="1:25" ht="12.4" customHeight="1">
      <c r="A21" s="91">
        <f>Datenblatt!A54</f>
        <v>46167</v>
      </c>
      <c r="B21" s="318">
        <f t="shared" si="0"/>
        <v>46034</v>
      </c>
      <c r="C21" s="319" t="str">
        <f>IF(Jän!$P20&gt;0,"K",IF(Jän!$Q20&gt;0,"U",IF(Jän!$T20="","",Jän!$T20)))</f>
        <v/>
      </c>
      <c r="D21" s="318">
        <f t="shared" si="1"/>
        <v>46065</v>
      </c>
      <c r="E21" s="319" t="str">
        <f>IF(Feb!$P20&gt;0,"K",IF(Feb!$Q20&gt;0,"U",IF(Feb!$T20="","",Feb!$T20)))</f>
        <v/>
      </c>
      <c r="F21" s="318">
        <f t="shared" si="2"/>
        <v>46093</v>
      </c>
      <c r="G21" s="319" t="str">
        <f>IF(März!$P20&gt;0,"K",IF(März!$Q20&gt;0,"U",IF(März!$T20="","",März!$T20)))</f>
        <v/>
      </c>
      <c r="H21" s="318">
        <f t="shared" si="3"/>
        <v>46124</v>
      </c>
      <c r="I21" s="319" t="str">
        <f>IF(April!$P20&gt;0,"K",IF(April!$Q20&gt;0,"U",IF(April!$T20="","",April!$T20)))</f>
        <v/>
      </c>
      <c r="J21" s="318">
        <f t="shared" si="4"/>
        <v>46154</v>
      </c>
      <c r="K21" s="319" t="str">
        <f>IF(Mai!$P20&gt;0,"K",IF(Mai!$Q20&gt;0,"U",IF(Mai!$T20="","",Mai!$T20)))</f>
        <v/>
      </c>
      <c r="L21" s="318">
        <f t="shared" si="5"/>
        <v>46185</v>
      </c>
      <c r="M21" s="319" t="str">
        <f>IF(Juni!$P20&gt;0,"K",IF(Juni!$Q20&gt;0,"U",IF(Juni!$T20="","",Juni!$T20)))</f>
        <v/>
      </c>
      <c r="N21" s="318">
        <f t="shared" si="6"/>
        <v>46215</v>
      </c>
      <c r="O21" s="319" t="str">
        <f>IF(Juli!$P20&gt;0,"K",IF(Juli!$Q20&gt;0,"U",IF(Juli!$T20="","",Juli!$T20)))</f>
        <v/>
      </c>
      <c r="P21" s="318">
        <f t="shared" si="7"/>
        <v>46246</v>
      </c>
      <c r="Q21" s="319" t="str">
        <f>IF(Aug!$P20&gt;0,"K",IF(Aug!$Q20&gt;0,"U",IF(Aug!$T20="","",Aug!$T20)))</f>
        <v/>
      </c>
      <c r="R21" s="318">
        <f t="shared" si="8"/>
        <v>46277</v>
      </c>
      <c r="S21" s="319" t="str">
        <f>IF(Sept!$P20&gt;0,"K",IF(Sept!$Q20&gt;0,"U",IF(Sept!$T20="","",Sept!$T20)))</f>
        <v/>
      </c>
      <c r="T21" s="318">
        <f t="shared" si="9"/>
        <v>46307</v>
      </c>
      <c r="U21" s="319" t="str">
        <f>IF(Okt!$P20&gt;0,"K",IF(Okt!$Q20&gt;0,"U",IF(Okt!$T20="","",Okt!$T20)))</f>
        <v/>
      </c>
      <c r="V21" s="318">
        <f t="shared" si="10"/>
        <v>46338</v>
      </c>
      <c r="W21" s="319" t="str">
        <f>IF(Nov!$P20&gt;0,"K",IF(Nov!$Q20&gt;0,"U",IF(Nov!$T20="","",Nov!$T20)))</f>
        <v/>
      </c>
      <c r="X21" s="318">
        <f t="shared" si="11"/>
        <v>46368</v>
      </c>
      <c r="Y21" s="324" t="str">
        <f>IF(Dez!$P20&gt;0,"K",IF(Dez!$Q20&gt;0,"U",IF(Dez!$T20="","",Dez!$T20)))</f>
        <v/>
      </c>
    </row>
    <row r="22" spans="1:25" ht="12.4" customHeight="1">
      <c r="A22" s="91" t="str">
        <f>Datenblatt!A55</f>
        <v>nicht frei</v>
      </c>
      <c r="B22" s="318">
        <f t="shared" si="0"/>
        <v>46035</v>
      </c>
      <c r="C22" s="319" t="str">
        <f>IF(Jän!$P21&gt;0,"K",IF(Jän!$Q21&gt;0,"U",IF(Jän!$T21="","",Jän!$T21)))</f>
        <v/>
      </c>
      <c r="D22" s="318">
        <f t="shared" si="1"/>
        <v>46066</v>
      </c>
      <c r="E22" s="319" t="str">
        <f>IF(Feb!$P21&gt;0,"K",IF(Feb!$Q21&gt;0,"U",IF(Feb!$T21="","",Feb!$T21)))</f>
        <v/>
      </c>
      <c r="F22" s="318">
        <f t="shared" si="2"/>
        <v>46094</v>
      </c>
      <c r="G22" s="319" t="str">
        <f>IF(März!$P21&gt;0,"K",IF(März!$Q21&gt;0,"U",IF(März!$T21="","",März!$T21)))</f>
        <v/>
      </c>
      <c r="H22" s="318">
        <f t="shared" si="3"/>
        <v>46125</v>
      </c>
      <c r="I22" s="319" t="str">
        <f>IF(April!$P21&gt;0,"K",IF(April!$Q21&gt;0,"U",IF(April!$T21="","",April!$T21)))</f>
        <v/>
      </c>
      <c r="J22" s="318">
        <f t="shared" si="4"/>
        <v>46155</v>
      </c>
      <c r="K22" s="319" t="str">
        <f>IF(Mai!$P21&gt;0,"K",IF(Mai!$Q21&gt;0,"U",IF(Mai!$T21="","",Mai!$T21)))</f>
        <v/>
      </c>
      <c r="L22" s="318">
        <f t="shared" si="5"/>
        <v>46186</v>
      </c>
      <c r="M22" s="319" t="str">
        <f>IF(Juni!$P21&gt;0,"K",IF(Juni!$Q21&gt;0,"U",IF(Juni!$T21="","",Juni!$T21)))</f>
        <v/>
      </c>
      <c r="N22" s="318">
        <f t="shared" si="6"/>
        <v>46216</v>
      </c>
      <c r="O22" s="319" t="str">
        <f>IF(Juli!$P21&gt;0,"K",IF(Juli!$Q21&gt;0,"U",IF(Juli!$T21="","",Juli!$T21)))</f>
        <v/>
      </c>
      <c r="P22" s="318">
        <f t="shared" si="7"/>
        <v>46247</v>
      </c>
      <c r="Q22" s="319" t="str">
        <f>IF(Aug!$P21&gt;0,"K",IF(Aug!$Q21&gt;0,"U",IF(Aug!$T21="","",Aug!$T21)))</f>
        <v/>
      </c>
      <c r="R22" s="318">
        <f t="shared" si="8"/>
        <v>46278</v>
      </c>
      <c r="S22" s="319" t="str">
        <f>IF(Sept!$P21&gt;0,"K",IF(Sept!$Q21&gt;0,"U",IF(Sept!$T21="","",Sept!$T21)))</f>
        <v/>
      </c>
      <c r="T22" s="318">
        <f t="shared" si="9"/>
        <v>46308</v>
      </c>
      <c r="U22" s="319" t="str">
        <f>IF(Okt!$P21&gt;0,"K",IF(Okt!$Q21&gt;0,"U",IF(Okt!$T21="","",Okt!$T21)))</f>
        <v/>
      </c>
      <c r="V22" s="318">
        <f t="shared" si="10"/>
        <v>46339</v>
      </c>
      <c r="W22" s="319" t="str">
        <f>IF(Nov!$P21&gt;0,"K",IF(Nov!$Q21&gt;0,"U",IF(Nov!$T21="","",Nov!$T21)))</f>
        <v/>
      </c>
      <c r="X22" s="318">
        <f t="shared" si="11"/>
        <v>46369</v>
      </c>
      <c r="Y22" s="324" t="str">
        <f>IF(Dez!$P21&gt;0,"K",IF(Dez!$Q21&gt;0,"U",IF(Dez!$T21="","",Dez!$T21)))</f>
        <v/>
      </c>
    </row>
    <row r="23" spans="1:25" ht="12.4" customHeight="1">
      <c r="A23" s="91">
        <f>Datenblatt!A56</f>
        <v>46177</v>
      </c>
      <c r="B23" s="318">
        <f t="shared" si="0"/>
        <v>46036</v>
      </c>
      <c r="C23" s="319" t="str">
        <f>IF(Jän!$P22&gt;0,"K",IF(Jän!$Q22&gt;0,"U",IF(Jän!$T22="","",Jän!$T22)))</f>
        <v/>
      </c>
      <c r="D23" s="318">
        <f t="shared" si="1"/>
        <v>46067</v>
      </c>
      <c r="E23" s="319" t="str">
        <f>IF(Feb!$P22&gt;0,"K",IF(Feb!$Q22&gt;0,"U",IF(Feb!$T22="","",Feb!$T22)))</f>
        <v/>
      </c>
      <c r="F23" s="318">
        <f t="shared" si="2"/>
        <v>46095</v>
      </c>
      <c r="G23" s="319" t="str">
        <f>IF(März!$P22&gt;0,"K",IF(März!$Q22&gt;0,"U",IF(März!$T22="","",März!$T22)))</f>
        <v/>
      </c>
      <c r="H23" s="318">
        <f t="shared" si="3"/>
        <v>46126</v>
      </c>
      <c r="I23" s="319" t="str">
        <f>IF(April!$P22&gt;0,"K",IF(April!$Q22&gt;0,"U",IF(April!$T22="","",April!$T22)))</f>
        <v/>
      </c>
      <c r="J23" s="318">
        <f t="shared" si="4"/>
        <v>46156</v>
      </c>
      <c r="K23" s="319" t="str">
        <f>IF(Mai!$P22&gt;0,"K",IF(Mai!$Q22&gt;0,"U",IF(Mai!$T22="","",Mai!$T22)))</f>
        <v/>
      </c>
      <c r="L23" s="318">
        <f t="shared" si="5"/>
        <v>46187</v>
      </c>
      <c r="M23" s="319" t="str">
        <f>IF(Juni!$P22&gt;0,"K",IF(Juni!$Q22&gt;0,"U",IF(Juni!$T22="","",Juni!$T22)))</f>
        <v/>
      </c>
      <c r="N23" s="318">
        <f t="shared" si="6"/>
        <v>46217</v>
      </c>
      <c r="O23" s="319" t="str">
        <f>IF(Juli!$P22&gt;0,"K",IF(Juli!$Q22&gt;0,"U",IF(Juli!$T22="","",Juli!$T22)))</f>
        <v/>
      </c>
      <c r="P23" s="318">
        <f t="shared" si="7"/>
        <v>46248</v>
      </c>
      <c r="Q23" s="319" t="str">
        <f>IF(Aug!$P22&gt;0,"K",IF(Aug!$Q22&gt;0,"U",IF(Aug!$T22="","",Aug!$T22)))</f>
        <v/>
      </c>
      <c r="R23" s="318">
        <f t="shared" si="8"/>
        <v>46279</v>
      </c>
      <c r="S23" s="319" t="str">
        <f>IF(Sept!$P22&gt;0,"K",IF(Sept!$Q22&gt;0,"U",IF(Sept!$T22="","",Sept!$T22)))</f>
        <v/>
      </c>
      <c r="T23" s="318">
        <f t="shared" si="9"/>
        <v>46309</v>
      </c>
      <c r="U23" s="319" t="str">
        <f>IF(Okt!$P22&gt;0,"K",IF(Okt!$Q22&gt;0,"U",IF(Okt!$T22="","",Okt!$T22)))</f>
        <v/>
      </c>
      <c r="V23" s="318">
        <f t="shared" si="10"/>
        <v>46340</v>
      </c>
      <c r="W23" s="319" t="str">
        <f>IF(Nov!$P22&gt;0,"K",IF(Nov!$Q22&gt;0,"U",IF(Nov!$T22="","",Nov!$T22)))</f>
        <v/>
      </c>
      <c r="X23" s="318">
        <f t="shared" si="11"/>
        <v>46370</v>
      </c>
      <c r="Y23" s="324" t="str">
        <f>IF(Dez!$P22&gt;0,"K",IF(Dez!$Q22&gt;0,"U",IF(Dez!$T22="","",Dez!$T22)))</f>
        <v/>
      </c>
    </row>
    <row r="24" spans="1:25" ht="12.4" customHeight="1">
      <c r="A24" s="91">
        <f>Datenblatt!A57</f>
        <v>46249</v>
      </c>
      <c r="B24" s="318">
        <f t="shared" si="0"/>
        <v>46037</v>
      </c>
      <c r="C24" s="319" t="str">
        <f>IF(Jän!$P23&gt;0,"K",IF(Jän!$Q23&gt;0,"U",IF(Jän!$T23="","",Jän!$T23)))</f>
        <v/>
      </c>
      <c r="D24" s="318">
        <f t="shared" si="1"/>
        <v>46068</v>
      </c>
      <c r="E24" s="319" t="str">
        <f>IF(Feb!$P23&gt;0,"K",IF(Feb!$Q23&gt;0,"U",IF(Feb!$T23="","",Feb!$T23)))</f>
        <v/>
      </c>
      <c r="F24" s="318">
        <f t="shared" si="2"/>
        <v>46096</v>
      </c>
      <c r="G24" s="319" t="str">
        <f>IF(März!$P23&gt;0,"K",IF(März!$Q23&gt;0,"U",IF(März!$T23="","",März!$T23)))</f>
        <v/>
      </c>
      <c r="H24" s="318">
        <f t="shared" si="3"/>
        <v>46127</v>
      </c>
      <c r="I24" s="319" t="str">
        <f>IF(April!$P23&gt;0,"K",IF(April!$Q23&gt;0,"U",IF(April!$T23="","",April!$T23)))</f>
        <v/>
      </c>
      <c r="J24" s="318">
        <f t="shared" si="4"/>
        <v>46157</v>
      </c>
      <c r="K24" s="319" t="str">
        <f>IF(Mai!$P23&gt;0,"K",IF(Mai!$Q23&gt;0,"U",IF(Mai!$T23="","",Mai!$T23)))</f>
        <v/>
      </c>
      <c r="L24" s="318">
        <f t="shared" si="5"/>
        <v>46188</v>
      </c>
      <c r="M24" s="319" t="str">
        <f>IF(Juni!$P23&gt;0,"K",IF(Juni!$Q23&gt;0,"U",IF(Juni!$T23="","",Juni!$T23)))</f>
        <v/>
      </c>
      <c r="N24" s="318">
        <f t="shared" si="6"/>
        <v>46218</v>
      </c>
      <c r="O24" s="319" t="str">
        <f>IF(Juli!$P23&gt;0,"K",IF(Juli!$Q23&gt;0,"U",IF(Juli!$T23="","",Juli!$T23)))</f>
        <v/>
      </c>
      <c r="P24" s="318">
        <f t="shared" si="7"/>
        <v>46249</v>
      </c>
      <c r="Q24" s="319" t="str">
        <f>IF(Aug!$P23&gt;0,"K",IF(Aug!$Q23&gt;0,"U",IF(Aug!$T23="","",Aug!$T23)))</f>
        <v/>
      </c>
      <c r="R24" s="318">
        <f t="shared" si="8"/>
        <v>46280</v>
      </c>
      <c r="S24" s="319" t="str">
        <f>IF(Sept!$P23&gt;0,"K",IF(Sept!$Q23&gt;0,"U",IF(Sept!$T23="","",Sept!$T23)))</f>
        <v/>
      </c>
      <c r="T24" s="318">
        <f t="shared" si="9"/>
        <v>46310</v>
      </c>
      <c r="U24" s="319" t="str">
        <f>IF(Okt!$P23&gt;0,"K",IF(Okt!$Q23&gt;0,"U",IF(Okt!$T23="","",Okt!$T23)))</f>
        <v/>
      </c>
      <c r="V24" s="318">
        <f t="shared" si="10"/>
        <v>46341</v>
      </c>
      <c r="W24" s="319" t="str">
        <f>IF(Nov!$P23&gt;0,"K",IF(Nov!$Q23&gt;0,"U",IF(Nov!$T23="","",Nov!$T23)))</f>
        <v/>
      </c>
      <c r="X24" s="318">
        <f t="shared" si="11"/>
        <v>46371</v>
      </c>
      <c r="Y24" s="324" t="str">
        <f>IF(Dez!$P23&gt;0,"K",IF(Dez!$Q23&gt;0,"U",IF(Dez!$T23="","",Dez!$T23)))</f>
        <v/>
      </c>
    </row>
    <row r="25" spans="1:25" ht="12.4" customHeight="1">
      <c r="A25" s="91">
        <f>Datenblatt!A58</f>
        <v>46321</v>
      </c>
      <c r="B25" s="318">
        <f t="shared" si="0"/>
        <v>46038</v>
      </c>
      <c r="C25" s="319" t="str">
        <f>IF(Jän!$P24&gt;0,"K",IF(Jän!$Q24&gt;0,"U",IF(Jän!$T24="","",Jän!$T24)))</f>
        <v/>
      </c>
      <c r="D25" s="318">
        <f t="shared" si="1"/>
        <v>46069</v>
      </c>
      <c r="E25" s="319" t="str">
        <f>IF(Feb!$P24&gt;0,"K",IF(Feb!$Q24&gt;0,"U",IF(Feb!$T24="","",Feb!$T24)))</f>
        <v/>
      </c>
      <c r="F25" s="318">
        <f t="shared" si="2"/>
        <v>46097</v>
      </c>
      <c r="G25" s="319" t="str">
        <f>IF(März!$P24&gt;0,"K",IF(März!$Q24&gt;0,"U",IF(März!$T24="","",März!$T24)))</f>
        <v/>
      </c>
      <c r="H25" s="318">
        <f t="shared" si="3"/>
        <v>46128</v>
      </c>
      <c r="I25" s="319" t="str">
        <f>IF(April!$P24&gt;0,"K",IF(April!$Q24&gt;0,"U",IF(April!$T24="","",April!$T24)))</f>
        <v/>
      </c>
      <c r="J25" s="318">
        <f t="shared" si="4"/>
        <v>46158</v>
      </c>
      <c r="K25" s="319" t="str">
        <f>IF(Mai!$P24&gt;0,"K",IF(Mai!$Q24&gt;0,"U",IF(Mai!$T24="","",Mai!$T24)))</f>
        <v/>
      </c>
      <c r="L25" s="318">
        <f t="shared" si="5"/>
        <v>46189</v>
      </c>
      <c r="M25" s="319" t="str">
        <f>IF(Juni!$P24&gt;0,"K",IF(Juni!$Q24&gt;0,"U",IF(Juni!$T24="","",Juni!$T24)))</f>
        <v/>
      </c>
      <c r="N25" s="318">
        <f t="shared" si="6"/>
        <v>46219</v>
      </c>
      <c r="O25" s="319" t="str">
        <f>IF(Juli!$P24&gt;0,"K",IF(Juli!$Q24&gt;0,"U",IF(Juli!$T24="","",Juli!$T24)))</f>
        <v/>
      </c>
      <c r="P25" s="318">
        <f t="shared" si="7"/>
        <v>46250</v>
      </c>
      <c r="Q25" s="319" t="str">
        <f>IF(Aug!$P24&gt;0,"K",IF(Aug!$Q24&gt;0,"U",IF(Aug!$T24="","",Aug!$T24)))</f>
        <v/>
      </c>
      <c r="R25" s="318">
        <f t="shared" si="8"/>
        <v>46281</v>
      </c>
      <c r="S25" s="319" t="str">
        <f>IF(Sept!$P24&gt;0,"K",IF(Sept!$Q24&gt;0,"U",IF(Sept!$T24="","",Sept!$T24)))</f>
        <v/>
      </c>
      <c r="T25" s="318">
        <f t="shared" si="9"/>
        <v>46311</v>
      </c>
      <c r="U25" s="319" t="str">
        <f>IF(Okt!$P24&gt;0,"K",IF(Okt!$Q24&gt;0,"U",IF(Okt!$T24="","",Okt!$T24)))</f>
        <v/>
      </c>
      <c r="V25" s="318">
        <f t="shared" si="10"/>
        <v>46342</v>
      </c>
      <c r="W25" s="319" t="str">
        <f>IF(Nov!$P24&gt;0,"K",IF(Nov!$Q24&gt;0,"U",IF(Nov!$T24="","",Nov!$T24)))</f>
        <v/>
      </c>
      <c r="X25" s="318">
        <f t="shared" si="11"/>
        <v>46372</v>
      </c>
      <c r="Y25" s="324" t="str">
        <f>IF(Dez!$P24&gt;0,"K",IF(Dez!$Q24&gt;0,"U",IF(Dez!$T24="","",Dez!$T24)))</f>
        <v/>
      </c>
    </row>
    <row r="26" spans="1:25" ht="12.4" customHeight="1">
      <c r="A26" s="91">
        <f>Datenblatt!A59</f>
        <v>46327</v>
      </c>
      <c r="B26" s="318">
        <f t="shared" si="0"/>
        <v>46039</v>
      </c>
      <c r="C26" s="319" t="str">
        <f>IF(Jän!$P25&gt;0,"K",IF(Jän!$Q25&gt;0,"U",IF(Jän!$T25="","",Jän!$T25)))</f>
        <v/>
      </c>
      <c r="D26" s="318">
        <f t="shared" si="1"/>
        <v>46070</v>
      </c>
      <c r="E26" s="319" t="str">
        <f>IF(Feb!$P25&gt;0,"K",IF(Feb!$Q25&gt;0,"U",IF(Feb!$T25="","",Feb!$T25)))</f>
        <v/>
      </c>
      <c r="F26" s="318">
        <f t="shared" si="2"/>
        <v>46098</v>
      </c>
      <c r="G26" s="319" t="str">
        <f>IF(März!$P25&gt;0,"K",IF(März!$Q25&gt;0,"U",IF(März!$T25="","",März!$T25)))</f>
        <v/>
      </c>
      <c r="H26" s="318">
        <f t="shared" si="3"/>
        <v>46129</v>
      </c>
      <c r="I26" s="319" t="str">
        <f>IF(April!$P25&gt;0,"K",IF(April!$Q25&gt;0,"U",IF(April!$T25="","",April!$T25)))</f>
        <v/>
      </c>
      <c r="J26" s="318">
        <f t="shared" si="4"/>
        <v>46159</v>
      </c>
      <c r="K26" s="319" t="str">
        <f>IF(Mai!$P25&gt;0,"K",IF(Mai!$Q25&gt;0,"U",IF(Mai!$T25="","",Mai!$T25)))</f>
        <v/>
      </c>
      <c r="L26" s="318">
        <f t="shared" si="5"/>
        <v>46190</v>
      </c>
      <c r="M26" s="319" t="str">
        <f>IF(Juni!$P25&gt;0,"K",IF(Juni!$Q25&gt;0,"U",IF(Juni!$T25="","",Juni!$T25)))</f>
        <v/>
      </c>
      <c r="N26" s="318">
        <f t="shared" si="6"/>
        <v>46220</v>
      </c>
      <c r="O26" s="319" t="str">
        <f>IF(Juli!$P25&gt;0,"K",IF(Juli!$Q25&gt;0,"U",IF(Juli!$T25="","",Juli!$T25)))</f>
        <v/>
      </c>
      <c r="P26" s="318">
        <f t="shared" si="7"/>
        <v>46251</v>
      </c>
      <c r="Q26" s="319" t="str">
        <f>IF(Aug!$P25&gt;0,"K",IF(Aug!$Q25&gt;0,"U",IF(Aug!$T25="","",Aug!$T25)))</f>
        <v/>
      </c>
      <c r="R26" s="318">
        <f t="shared" si="8"/>
        <v>46282</v>
      </c>
      <c r="S26" s="319" t="str">
        <f>IF(Sept!$P25&gt;0,"K",IF(Sept!$Q25&gt;0,"U",IF(Sept!$T25="","",Sept!$T25)))</f>
        <v/>
      </c>
      <c r="T26" s="318">
        <f t="shared" si="9"/>
        <v>46312</v>
      </c>
      <c r="U26" s="319" t="str">
        <f>IF(Okt!$P25&gt;0,"K",IF(Okt!$Q25&gt;0,"U",IF(Okt!$T25="","",Okt!$T25)))</f>
        <v/>
      </c>
      <c r="V26" s="318">
        <f t="shared" si="10"/>
        <v>46343</v>
      </c>
      <c r="W26" s="319" t="str">
        <f>IF(Nov!$P25&gt;0,"K",IF(Nov!$Q25&gt;0,"U",IF(Nov!$T25="","",Nov!$T25)))</f>
        <v/>
      </c>
      <c r="X26" s="318">
        <f t="shared" si="11"/>
        <v>46373</v>
      </c>
      <c r="Y26" s="324" t="str">
        <f>IF(Dez!$P25&gt;0,"K",IF(Dez!$Q25&gt;0,"U",IF(Dez!$T25="","",Dez!$T25)))</f>
        <v/>
      </c>
    </row>
    <row r="27" spans="1:25" ht="12.4" customHeight="1">
      <c r="A27" s="91">
        <f>Datenblatt!A60</f>
        <v>46328</v>
      </c>
      <c r="B27" s="318">
        <f t="shared" si="0"/>
        <v>46040</v>
      </c>
      <c r="C27" s="319" t="str">
        <f>IF(Jän!$P26&gt;0,"K",IF(Jän!$Q26&gt;0,"U",IF(Jän!$T26="","",Jän!$T26)))</f>
        <v/>
      </c>
      <c r="D27" s="318">
        <f t="shared" si="1"/>
        <v>46071</v>
      </c>
      <c r="E27" s="319" t="str">
        <f>IF(Feb!$P26&gt;0,"K",IF(Feb!$Q26&gt;0,"U",IF(Feb!$T26="","",Feb!$T26)))</f>
        <v/>
      </c>
      <c r="F27" s="318">
        <f t="shared" si="2"/>
        <v>46099</v>
      </c>
      <c r="G27" s="319" t="str">
        <f>IF(März!$P26&gt;0,"K",IF(März!$Q26&gt;0,"U",IF(März!$T26="","",März!$T26)))</f>
        <v/>
      </c>
      <c r="H27" s="318">
        <f t="shared" si="3"/>
        <v>46130</v>
      </c>
      <c r="I27" s="319" t="str">
        <f>IF(April!$P26&gt;0,"K",IF(April!$Q26&gt;0,"U",IF(April!$T26="","",April!$T26)))</f>
        <v/>
      </c>
      <c r="J27" s="318">
        <f t="shared" si="4"/>
        <v>46160</v>
      </c>
      <c r="K27" s="319" t="str">
        <f>IF(Mai!$P26&gt;0,"K",IF(Mai!$Q26&gt;0,"U",IF(Mai!$T26="","",Mai!$T26)))</f>
        <v/>
      </c>
      <c r="L27" s="318">
        <f t="shared" si="5"/>
        <v>46191</v>
      </c>
      <c r="M27" s="319" t="str">
        <f>IF(Juni!$P26&gt;0,"K",IF(Juni!$Q26&gt;0,"U",IF(Juni!$T26="","",Juni!$T26)))</f>
        <v/>
      </c>
      <c r="N27" s="318">
        <f t="shared" si="6"/>
        <v>46221</v>
      </c>
      <c r="O27" s="319" t="str">
        <f>IF(Juli!$P26&gt;0,"K",IF(Juli!$Q26&gt;0,"U",IF(Juli!$T26="","",Juli!$T26)))</f>
        <v/>
      </c>
      <c r="P27" s="318">
        <f t="shared" si="7"/>
        <v>46252</v>
      </c>
      <c r="Q27" s="319" t="str">
        <f>IF(Aug!$P26&gt;0,"K",IF(Aug!$Q26&gt;0,"U",IF(Aug!$T26="","",Aug!$T26)))</f>
        <v/>
      </c>
      <c r="R27" s="318">
        <f t="shared" si="8"/>
        <v>46283</v>
      </c>
      <c r="S27" s="319" t="str">
        <f>IF(Sept!$P26&gt;0,"K",IF(Sept!$Q26&gt;0,"U",IF(Sept!$T26="","",Sept!$T26)))</f>
        <v/>
      </c>
      <c r="T27" s="318">
        <f t="shared" si="9"/>
        <v>46313</v>
      </c>
      <c r="U27" s="319" t="str">
        <f>IF(Okt!$P26&gt;0,"K",IF(Okt!$Q26&gt;0,"U",IF(Okt!$T26="","",Okt!$T26)))</f>
        <v/>
      </c>
      <c r="V27" s="318">
        <f t="shared" si="10"/>
        <v>46344</v>
      </c>
      <c r="W27" s="319" t="str">
        <f>IF(Nov!$P26&gt;0,"K",IF(Nov!$Q26&gt;0,"U",IF(Nov!$T26="","",Nov!$T26)))</f>
        <v/>
      </c>
      <c r="X27" s="318">
        <f t="shared" si="11"/>
        <v>46374</v>
      </c>
      <c r="Y27" s="324" t="str">
        <f>IF(Dez!$P26&gt;0,"K",IF(Dez!$Q26&gt;0,"U",IF(Dez!$T26="","",Dez!$T26)))</f>
        <v/>
      </c>
    </row>
    <row r="28" spans="1:25" ht="12.4" customHeight="1">
      <c r="A28" s="91">
        <f>Datenblatt!A61</f>
        <v>46364</v>
      </c>
      <c r="B28" s="318">
        <f t="shared" si="0"/>
        <v>46041</v>
      </c>
      <c r="C28" s="319" t="str">
        <f>IF(Jän!$P27&gt;0,"K",IF(Jän!$Q27&gt;0,"U",IF(Jän!$T27="","",Jän!$T27)))</f>
        <v/>
      </c>
      <c r="D28" s="318">
        <f t="shared" si="1"/>
        <v>46072</v>
      </c>
      <c r="E28" s="319" t="str">
        <f>IF(Feb!$P27&gt;0,"K",IF(Feb!$Q27&gt;0,"U",IF(Feb!$T27="","",Feb!$T27)))</f>
        <v/>
      </c>
      <c r="F28" s="318">
        <f t="shared" si="2"/>
        <v>46100</v>
      </c>
      <c r="G28" s="319" t="str">
        <f>IF(März!$P27&gt;0,"K",IF(März!$Q27&gt;0,"U",IF(März!$T27="","",März!$T27)))</f>
        <v/>
      </c>
      <c r="H28" s="318">
        <f t="shared" si="3"/>
        <v>46131</v>
      </c>
      <c r="I28" s="319" t="str">
        <f>IF(April!$P27&gt;0,"K",IF(April!$Q27&gt;0,"U",IF(April!$T27="","",April!$T27)))</f>
        <v/>
      </c>
      <c r="J28" s="318">
        <f t="shared" si="4"/>
        <v>46161</v>
      </c>
      <c r="K28" s="319" t="str">
        <f>IF(Mai!$P27&gt;0,"K",IF(Mai!$Q27&gt;0,"U",IF(Mai!$T27="","",Mai!$T27)))</f>
        <v/>
      </c>
      <c r="L28" s="318">
        <f t="shared" si="5"/>
        <v>46192</v>
      </c>
      <c r="M28" s="319" t="str">
        <f>IF(Juni!$P27&gt;0,"K",IF(Juni!$Q27&gt;0,"U",IF(Juni!$T27="","",Juni!$T27)))</f>
        <v/>
      </c>
      <c r="N28" s="318">
        <f t="shared" si="6"/>
        <v>46222</v>
      </c>
      <c r="O28" s="319" t="str">
        <f>IF(Juli!$P27&gt;0,"K",IF(Juli!$Q27&gt;0,"U",IF(Juli!$T27="","",Juli!$T27)))</f>
        <v/>
      </c>
      <c r="P28" s="318">
        <f t="shared" si="7"/>
        <v>46253</v>
      </c>
      <c r="Q28" s="319" t="str">
        <f>IF(Aug!$P27&gt;0,"K",IF(Aug!$Q27&gt;0,"U",IF(Aug!$T27="","",Aug!$T27)))</f>
        <v/>
      </c>
      <c r="R28" s="318">
        <f t="shared" si="8"/>
        <v>46284</v>
      </c>
      <c r="S28" s="319" t="str">
        <f>IF(Sept!$P27&gt;0,"K",IF(Sept!$Q27&gt;0,"U",IF(Sept!$T27="","",Sept!$T27)))</f>
        <v/>
      </c>
      <c r="T28" s="318">
        <f t="shared" si="9"/>
        <v>46314</v>
      </c>
      <c r="U28" s="319" t="str">
        <f>IF(Okt!$P27&gt;0,"K",IF(Okt!$Q27&gt;0,"U",IF(Okt!$T27="","",Okt!$T27)))</f>
        <v/>
      </c>
      <c r="V28" s="318">
        <f t="shared" si="10"/>
        <v>46345</v>
      </c>
      <c r="W28" s="319" t="str">
        <f>IF(Nov!$P27&gt;0,"K",IF(Nov!$Q27&gt;0,"U",IF(Nov!$T27="","",Nov!$T27)))</f>
        <v/>
      </c>
      <c r="X28" s="318">
        <f t="shared" si="11"/>
        <v>46375</v>
      </c>
      <c r="Y28" s="324" t="str">
        <f>IF(Dez!$P27&gt;0,"K",IF(Dez!$Q27&gt;0,"U",IF(Dez!$T27="","",Dez!$T27)))</f>
        <v/>
      </c>
    </row>
    <row r="29" spans="1:25" ht="12.4" customHeight="1">
      <c r="A29" s="91">
        <f>Datenblatt!A62</f>
        <v>46380</v>
      </c>
      <c r="B29" s="318">
        <f t="shared" si="0"/>
        <v>46042</v>
      </c>
      <c r="C29" s="319" t="str">
        <f>IF(Jän!$P28&gt;0,"K",IF(Jän!$Q28&gt;0,"U",IF(Jän!$T28="","",Jän!$T28)))</f>
        <v/>
      </c>
      <c r="D29" s="318">
        <f t="shared" si="1"/>
        <v>46073</v>
      </c>
      <c r="E29" s="319" t="str">
        <f>IF(Feb!$P28&gt;0,"K",IF(Feb!$Q28&gt;0,"U",IF(Feb!$T28="","",Feb!$T28)))</f>
        <v/>
      </c>
      <c r="F29" s="318">
        <f t="shared" si="2"/>
        <v>46101</v>
      </c>
      <c r="G29" s="319" t="str">
        <f>IF(März!$P28&gt;0,"K",IF(März!$Q28&gt;0,"U",IF(März!$T28="","",März!$T28)))</f>
        <v/>
      </c>
      <c r="H29" s="318">
        <f t="shared" si="3"/>
        <v>46132</v>
      </c>
      <c r="I29" s="319" t="str">
        <f>IF(April!$P28&gt;0,"K",IF(April!$Q28&gt;0,"U",IF(April!$T28="","",April!$T28)))</f>
        <v/>
      </c>
      <c r="J29" s="318">
        <f t="shared" si="4"/>
        <v>46162</v>
      </c>
      <c r="K29" s="319" t="str">
        <f>IF(Mai!$P28&gt;0,"K",IF(Mai!$Q28&gt;0,"U",IF(Mai!$T28="","",Mai!$T28)))</f>
        <v/>
      </c>
      <c r="L29" s="318">
        <f t="shared" si="5"/>
        <v>46193</v>
      </c>
      <c r="M29" s="319" t="str">
        <f>IF(Juni!$P28&gt;0,"K",IF(Juni!$Q28&gt;0,"U",IF(Juni!$T28="","",Juni!$T28)))</f>
        <v/>
      </c>
      <c r="N29" s="318">
        <f t="shared" si="6"/>
        <v>46223</v>
      </c>
      <c r="O29" s="319" t="str">
        <f>IF(Juli!$P28&gt;0,"K",IF(Juli!$Q28&gt;0,"U",IF(Juli!$T28="","",Juli!$T28)))</f>
        <v/>
      </c>
      <c r="P29" s="318">
        <f t="shared" si="7"/>
        <v>46254</v>
      </c>
      <c r="Q29" s="319" t="str">
        <f>IF(Aug!$P28&gt;0,"K",IF(Aug!$Q28&gt;0,"U",IF(Aug!$T28="","",Aug!$T28)))</f>
        <v/>
      </c>
      <c r="R29" s="318">
        <f t="shared" si="8"/>
        <v>46285</v>
      </c>
      <c r="S29" s="319" t="str">
        <f>IF(Sept!$P28&gt;0,"K",IF(Sept!$Q28&gt;0,"U",IF(Sept!$T28="","",Sept!$T28)))</f>
        <v/>
      </c>
      <c r="T29" s="318">
        <f t="shared" si="9"/>
        <v>46315</v>
      </c>
      <c r="U29" s="319" t="str">
        <f>IF(Okt!$P28&gt;0,"K",IF(Okt!$Q28&gt;0,"U",IF(Okt!$T28="","",Okt!$T28)))</f>
        <v/>
      </c>
      <c r="V29" s="318">
        <f t="shared" si="10"/>
        <v>46346</v>
      </c>
      <c r="W29" s="319" t="str">
        <f>IF(Nov!$P28&gt;0,"K",IF(Nov!$Q28&gt;0,"U",IF(Nov!$T28="","",Nov!$T28)))</f>
        <v/>
      </c>
      <c r="X29" s="318">
        <f t="shared" si="11"/>
        <v>46376</v>
      </c>
      <c r="Y29" s="324" t="str">
        <f>IF(Dez!$P28&gt;0,"K",IF(Dez!$Q28&gt;0,"U",IF(Dez!$T28="","",Dez!$T28)))</f>
        <v/>
      </c>
    </row>
    <row r="30" spans="1:25" ht="12.4" customHeight="1">
      <c r="A30" s="91">
        <f>Datenblatt!A63</f>
        <v>46381</v>
      </c>
      <c r="B30" s="318">
        <f t="shared" si="0"/>
        <v>46043</v>
      </c>
      <c r="C30" s="319" t="str">
        <f>IF(Jän!$P29&gt;0,"K",IF(Jän!$Q29&gt;0,"U",IF(Jän!$T29="","",Jän!$T29)))</f>
        <v/>
      </c>
      <c r="D30" s="318">
        <f t="shared" si="1"/>
        <v>46074</v>
      </c>
      <c r="E30" s="319" t="str">
        <f>IF(Feb!$P29&gt;0,"K",IF(Feb!$Q29&gt;0,"U",IF(Feb!$T29="","",Feb!$T29)))</f>
        <v/>
      </c>
      <c r="F30" s="318">
        <f t="shared" si="2"/>
        <v>46102</v>
      </c>
      <c r="G30" s="319" t="str">
        <f>IF(März!$P29&gt;0,"K",IF(März!$Q29&gt;0,"U",IF(März!$T29="","",März!$T29)))</f>
        <v/>
      </c>
      <c r="H30" s="318">
        <f t="shared" si="3"/>
        <v>46133</v>
      </c>
      <c r="I30" s="319" t="str">
        <f>IF(April!$P29&gt;0,"K",IF(April!$Q29&gt;0,"U",IF(April!$T29="","",April!$T29)))</f>
        <v/>
      </c>
      <c r="J30" s="318">
        <f t="shared" si="4"/>
        <v>46163</v>
      </c>
      <c r="K30" s="319" t="str">
        <f>IF(Mai!$P29&gt;0,"K",IF(Mai!$Q29&gt;0,"U",IF(Mai!$T29="","",Mai!$T29)))</f>
        <v/>
      </c>
      <c r="L30" s="318">
        <f t="shared" si="5"/>
        <v>46194</v>
      </c>
      <c r="M30" s="319" t="str">
        <f>IF(Juni!$P29&gt;0,"K",IF(Juni!$Q29&gt;0,"U",IF(Juni!$T29="","",Juni!$T29)))</f>
        <v/>
      </c>
      <c r="N30" s="318">
        <f t="shared" si="6"/>
        <v>46224</v>
      </c>
      <c r="O30" s="319" t="str">
        <f>IF(Juli!$P29&gt;0,"K",IF(Juli!$Q29&gt;0,"U",IF(Juli!$T29="","",Juli!$T29)))</f>
        <v/>
      </c>
      <c r="P30" s="318">
        <f t="shared" si="7"/>
        <v>46255</v>
      </c>
      <c r="Q30" s="319" t="str">
        <f>IF(Aug!$P29&gt;0,"K",IF(Aug!$Q29&gt;0,"U",IF(Aug!$T29="","",Aug!$T29)))</f>
        <v/>
      </c>
      <c r="R30" s="318">
        <f t="shared" si="8"/>
        <v>46286</v>
      </c>
      <c r="S30" s="319" t="str">
        <f>IF(Sept!$P29&gt;0,"K",IF(Sept!$Q29&gt;0,"U",IF(Sept!$T29="","",Sept!$T29)))</f>
        <v/>
      </c>
      <c r="T30" s="318">
        <f t="shared" si="9"/>
        <v>46316</v>
      </c>
      <c r="U30" s="319" t="str">
        <f>IF(Okt!$P29&gt;0,"K",IF(Okt!$Q29&gt;0,"U",IF(Okt!$T29="","",Okt!$T29)))</f>
        <v/>
      </c>
      <c r="V30" s="318">
        <f t="shared" si="10"/>
        <v>46347</v>
      </c>
      <c r="W30" s="319" t="str">
        <f>IF(Nov!$P29&gt;0,"K",IF(Nov!$Q29&gt;0,"U",IF(Nov!$T29="","",Nov!$T29)))</f>
        <v/>
      </c>
      <c r="X30" s="318">
        <f t="shared" si="11"/>
        <v>46377</v>
      </c>
      <c r="Y30" s="324" t="str">
        <f>IF(Dez!$P29&gt;0,"K",IF(Dez!$Q29&gt;0,"U",IF(Dez!$T29="","",Dez!$T29)))</f>
        <v/>
      </c>
    </row>
    <row r="31" spans="1:25" ht="12.4" customHeight="1">
      <c r="A31" s="91">
        <f>Datenblatt!A64</f>
        <v>46382</v>
      </c>
      <c r="B31" s="318">
        <f t="shared" si="0"/>
        <v>46044</v>
      </c>
      <c r="C31" s="319" t="str">
        <f>IF(Jän!$P30&gt;0,"K",IF(Jän!$Q30&gt;0,"U",IF(Jän!$T30="","",Jän!$T30)))</f>
        <v/>
      </c>
      <c r="D31" s="318">
        <f t="shared" si="1"/>
        <v>46075</v>
      </c>
      <c r="E31" s="319" t="str">
        <f>IF(Feb!$P30&gt;0,"K",IF(Feb!$Q30&gt;0,"U",IF(Feb!$T30="","",Feb!$T30)))</f>
        <v/>
      </c>
      <c r="F31" s="318">
        <f t="shared" si="2"/>
        <v>46103</v>
      </c>
      <c r="G31" s="319" t="str">
        <f>IF(März!$P30&gt;0,"K",IF(März!$Q30&gt;0,"U",IF(März!$T30="","",März!$T30)))</f>
        <v/>
      </c>
      <c r="H31" s="318">
        <f t="shared" si="3"/>
        <v>46134</v>
      </c>
      <c r="I31" s="319" t="str">
        <f>IF(April!$P30&gt;0,"K",IF(April!$Q30&gt;0,"U",IF(April!$T30="","",April!$T30)))</f>
        <v/>
      </c>
      <c r="J31" s="318">
        <f t="shared" si="4"/>
        <v>46164</v>
      </c>
      <c r="K31" s="319" t="str">
        <f>IF(Mai!$P30&gt;0,"K",IF(Mai!$Q30&gt;0,"U",IF(Mai!$T30="","",Mai!$T30)))</f>
        <v/>
      </c>
      <c r="L31" s="318">
        <f t="shared" si="5"/>
        <v>46195</v>
      </c>
      <c r="M31" s="319" t="str">
        <f>IF(Juni!$P30&gt;0,"K",IF(Juni!$Q30&gt;0,"U",IF(Juni!$T30="","",Juni!$T30)))</f>
        <v/>
      </c>
      <c r="N31" s="318">
        <f t="shared" si="6"/>
        <v>46225</v>
      </c>
      <c r="O31" s="319" t="str">
        <f>IF(Juli!$P30&gt;0,"K",IF(Juli!$Q30&gt;0,"U",IF(Juli!$T30="","",Juli!$T30)))</f>
        <v/>
      </c>
      <c r="P31" s="318">
        <f t="shared" si="7"/>
        <v>46256</v>
      </c>
      <c r="Q31" s="319" t="str">
        <f>IF(Aug!$P30&gt;0,"K",IF(Aug!$Q30&gt;0,"U",IF(Aug!$T30="","",Aug!$T30)))</f>
        <v/>
      </c>
      <c r="R31" s="318">
        <f t="shared" si="8"/>
        <v>46287</v>
      </c>
      <c r="S31" s="319" t="str">
        <f>IF(Sept!$P30&gt;0,"K",IF(Sept!$Q30&gt;0,"U",IF(Sept!$T30="","",Sept!$T30)))</f>
        <v/>
      </c>
      <c r="T31" s="318">
        <f t="shared" si="9"/>
        <v>46317</v>
      </c>
      <c r="U31" s="319" t="str">
        <f>IF(Okt!$P30&gt;0,"K",IF(Okt!$Q30&gt;0,"U",IF(Okt!$T30="","",Okt!$T30)))</f>
        <v/>
      </c>
      <c r="V31" s="318">
        <f t="shared" si="10"/>
        <v>46348</v>
      </c>
      <c r="W31" s="319" t="str">
        <f>IF(Nov!$P30&gt;0,"K",IF(Nov!$Q30&gt;0,"U",IF(Nov!$T30="","",Nov!$T30)))</f>
        <v/>
      </c>
      <c r="X31" s="318">
        <f t="shared" si="11"/>
        <v>46378</v>
      </c>
      <c r="Y31" s="324" t="str">
        <f>IF(Dez!$P30&gt;0,"K",IF(Dez!$Q30&gt;0,"U",IF(Dez!$T30="","",Dez!$T30)))</f>
        <v/>
      </c>
    </row>
    <row r="32" spans="1:25" ht="12.4" customHeight="1">
      <c r="A32" s="91">
        <f>Datenblatt!A65</f>
        <v>46387</v>
      </c>
      <c r="B32" s="318">
        <f t="shared" si="0"/>
        <v>46045</v>
      </c>
      <c r="C32" s="319" t="str">
        <f>IF(Jän!$P31&gt;0,"K",IF(Jän!$Q31&gt;0,"U",IF(Jän!$T31="","",Jän!$T31)))</f>
        <v/>
      </c>
      <c r="D32" s="318">
        <f t="shared" si="1"/>
        <v>46076</v>
      </c>
      <c r="E32" s="319" t="str">
        <f>IF(Feb!$P31&gt;0,"K",IF(Feb!$Q31&gt;0,"U",IF(Feb!$T31="","",Feb!$T31)))</f>
        <v/>
      </c>
      <c r="F32" s="318">
        <f t="shared" si="2"/>
        <v>46104</v>
      </c>
      <c r="G32" s="319" t="str">
        <f>IF(März!$P31&gt;0,"K",IF(März!$Q31&gt;0,"U",IF(März!$T31="","",März!$T31)))</f>
        <v/>
      </c>
      <c r="H32" s="318">
        <f t="shared" si="3"/>
        <v>46135</v>
      </c>
      <c r="I32" s="319" t="str">
        <f>IF(April!$P31&gt;0,"K",IF(April!$Q31&gt;0,"U",IF(April!$T31="","",April!$T31)))</f>
        <v/>
      </c>
      <c r="J32" s="318">
        <f t="shared" si="4"/>
        <v>46165</v>
      </c>
      <c r="K32" s="319" t="str">
        <f>IF(Mai!$P31&gt;0,"K",IF(Mai!$Q31&gt;0,"U",IF(Mai!$T31="","",Mai!$T31)))</f>
        <v/>
      </c>
      <c r="L32" s="318">
        <f t="shared" si="5"/>
        <v>46196</v>
      </c>
      <c r="M32" s="319" t="str">
        <f>IF(Juni!$P31&gt;0,"K",IF(Juni!$Q31&gt;0,"U",IF(Juni!$T31="","",Juni!$T31)))</f>
        <v/>
      </c>
      <c r="N32" s="318">
        <f t="shared" si="6"/>
        <v>46226</v>
      </c>
      <c r="O32" s="319" t="str">
        <f>IF(Juli!$P31&gt;0,"K",IF(Juli!$Q31&gt;0,"U",IF(Juli!$T31="","",Juli!$T31)))</f>
        <v/>
      </c>
      <c r="P32" s="318">
        <f t="shared" si="7"/>
        <v>46257</v>
      </c>
      <c r="Q32" s="319" t="str">
        <f>IF(Aug!$P31&gt;0,"K",IF(Aug!$Q31&gt;0,"U",IF(Aug!$T31="","",Aug!$T31)))</f>
        <v/>
      </c>
      <c r="R32" s="318">
        <f t="shared" si="8"/>
        <v>46288</v>
      </c>
      <c r="S32" s="319" t="str">
        <f>IF(Sept!$P31&gt;0,"K",IF(Sept!$Q31&gt;0,"U",IF(Sept!$T31="","",Sept!$T31)))</f>
        <v/>
      </c>
      <c r="T32" s="318">
        <f t="shared" si="9"/>
        <v>46318</v>
      </c>
      <c r="U32" s="319" t="str">
        <f>IF(Okt!$P31&gt;0,"K",IF(Okt!$Q31&gt;0,"U",IF(Okt!$T31="","",Okt!$T31)))</f>
        <v/>
      </c>
      <c r="V32" s="318">
        <f t="shared" si="10"/>
        <v>46349</v>
      </c>
      <c r="W32" s="319" t="str">
        <f>IF(Nov!$P31&gt;0,"K",IF(Nov!$Q31&gt;0,"U",IF(Nov!$T31="","",Nov!$T31)))</f>
        <v/>
      </c>
      <c r="X32" s="318">
        <f t="shared" si="11"/>
        <v>46379</v>
      </c>
      <c r="Y32" s="324" t="str">
        <f>IF(Dez!$P31&gt;0,"K",IF(Dez!$Q31&gt;0,"U",IF(Dez!$T31="","",Dez!$T31)))</f>
        <v/>
      </c>
    </row>
    <row r="33" spans="1:25" ht="12.4" customHeight="1">
      <c r="A33" s="91"/>
      <c r="B33" s="318">
        <f t="shared" si="0"/>
        <v>46046</v>
      </c>
      <c r="C33" s="319" t="str">
        <f>IF(Jän!$P32&gt;0,"K",IF(Jän!$Q32&gt;0,"U",IF(Jän!$T32="","",Jän!$T32)))</f>
        <v/>
      </c>
      <c r="D33" s="318">
        <f t="shared" si="1"/>
        <v>46077</v>
      </c>
      <c r="E33" s="319" t="str">
        <f>IF(Feb!$P32&gt;0,"K",IF(Feb!$Q32&gt;0,"U",IF(Feb!$T32="","",Feb!$T32)))</f>
        <v/>
      </c>
      <c r="F33" s="318">
        <f t="shared" si="2"/>
        <v>46105</v>
      </c>
      <c r="G33" s="319" t="str">
        <f>IF(März!$P32&gt;0,"K",IF(März!$Q32&gt;0,"U",IF(März!$T32="","",März!$T32)))</f>
        <v/>
      </c>
      <c r="H33" s="318">
        <f t="shared" si="3"/>
        <v>46136</v>
      </c>
      <c r="I33" s="319" t="str">
        <f>IF(April!$P32&gt;0,"K",IF(April!$Q32&gt;0,"U",IF(April!$T32="","",April!$T32)))</f>
        <v/>
      </c>
      <c r="J33" s="318">
        <f t="shared" si="4"/>
        <v>46166</v>
      </c>
      <c r="K33" s="319" t="str">
        <f>IF(Mai!$P32&gt;0,"K",IF(Mai!$Q32&gt;0,"U",IF(Mai!$T32="","",Mai!$T32)))</f>
        <v/>
      </c>
      <c r="L33" s="318">
        <f t="shared" si="5"/>
        <v>46197</v>
      </c>
      <c r="M33" s="319" t="str">
        <f>IF(Juni!$P32&gt;0,"K",IF(Juni!$Q32&gt;0,"U",IF(Juni!$T32="","",Juni!$T32)))</f>
        <v/>
      </c>
      <c r="N33" s="318">
        <f t="shared" si="6"/>
        <v>46227</v>
      </c>
      <c r="O33" s="319" t="str">
        <f>IF(Juli!$P32&gt;0,"K",IF(Juli!$Q32&gt;0,"U",IF(Juli!$T32="","",Juli!$T32)))</f>
        <v/>
      </c>
      <c r="P33" s="318">
        <f t="shared" si="7"/>
        <v>46258</v>
      </c>
      <c r="Q33" s="319" t="str">
        <f>IF(Aug!$P32&gt;0,"K",IF(Aug!$Q32&gt;0,"U",IF(Aug!$T32="","",Aug!$T32)))</f>
        <v/>
      </c>
      <c r="R33" s="318">
        <f t="shared" si="8"/>
        <v>46289</v>
      </c>
      <c r="S33" s="319" t="str">
        <f>IF(Sept!$P32&gt;0,"K",IF(Sept!$Q32&gt;0,"U",IF(Sept!$T32="","",Sept!$T32)))</f>
        <v/>
      </c>
      <c r="T33" s="318">
        <f t="shared" si="9"/>
        <v>46319</v>
      </c>
      <c r="U33" s="319" t="str">
        <f>IF(Okt!$P32&gt;0,"K",IF(Okt!$Q32&gt;0,"U",IF(Okt!$T32="","",Okt!$T32)))</f>
        <v/>
      </c>
      <c r="V33" s="318">
        <f t="shared" si="10"/>
        <v>46350</v>
      </c>
      <c r="W33" s="319" t="str">
        <f>IF(Nov!$P32&gt;0,"K",IF(Nov!$Q32&gt;0,"U",IF(Nov!$T32="","",Nov!$T32)))</f>
        <v/>
      </c>
      <c r="X33" s="318">
        <f t="shared" si="11"/>
        <v>46380</v>
      </c>
      <c r="Y33" s="324" t="str">
        <f>IF(Dez!$P32&gt;0,"K",IF(Dez!$Q32&gt;0,"U",IF(Dez!$T32="","",Dez!$T32)))</f>
        <v/>
      </c>
    </row>
    <row r="34" spans="1:25" ht="12.4" customHeight="1">
      <c r="A34" s="91"/>
      <c r="B34" s="318">
        <f t="shared" si="0"/>
        <v>46047</v>
      </c>
      <c r="C34" s="319" t="str">
        <f>IF(Jän!$P33&gt;0,"K",IF(Jän!$Q33&gt;0,"U",IF(Jän!$T33="","",Jän!$T33)))</f>
        <v/>
      </c>
      <c r="D34" s="318">
        <f t="shared" si="1"/>
        <v>46078</v>
      </c>
      <c r="E34" s="319" t="str">
        <f>IF(Feb!$P33&gt;0,"K",IF(Feb!$Q33&gt;0,"U",IF(Feb!$T33="","",Feb!$T33)))</f>
        <v/>
      </c>
      <c r="F34" s="318">
        <f t="shared" si="2"/>
        <v>46106</v>
      </c>
      <c r="G34" s="319" t="str">
        <f>IF(März!$P33&gt;0,"K",IF(März!$Q33&gt;0,"U",IF(März!$T33="","",März!$T33)))</f>
        <v/>
      </c>
      <c r="H34" s="318">
        <f t="shared" si="3"/>
        <v>46137</v>
      </c>
      <c r="I34" s="319" t="str">
        <f>IF(April!$P33&gt;0,"K",IF(April!$Q33&gt;0,"U",IF(April!$T33="","",April!$T33)))</f>
        <v/>
      </c>
      <c r="J34" s="318">
        <f t="shared" si="4"/>
        <v>46167</v>
      </c>
      <c r="K34" s="319" t="str">
        <f>IF(Mai!$P33&gt;0,"K",IF(Mai!$Q33&gt;0,"U",IF(Mai!$T33="","",Mai!$T33)))</f>
        <v/>
      </c>
      <c r="L34" s="318">
        <f t="shared" si="5"/>
        <v>46198</v>
      </c>
      <c r="M34" s="319" t="str">
        <f>IF(Juni!$P33&gt;0,"K",IF(Juni!$Q33&gt;0,"U",IF(Juni!$T33="","",Juni!$T33)))</f>
        <v/>
      </c>
      <c r="N34" s="318">
        <f t="shared" si="6"/>
        <v>46228</v>
      </c>
      <c r="O34" s="319" t="str">
        <f>IF(Juli!$P33&gt;0,"K",IF(Juli!$Q33&gt;0,"U",IF(Juli!$T33="","",Juli!$T33)))</f>
        <v/>
      </c>
      <c r="P34" s="318">
        <f t="shared" si="7"/>
        <v>46259</v>
      </c>
      <c r="Q34" s="319" t="str">
        <f>IF(Aug!$P33&gt;0,"K",IF(Aug!$Q33&gt;0,"U",IF(Aug!$T33="","",Aug!$T33)))</f>
        <v/>
      </c>
      <c r="R34" s="318">
        <f t="shared" si="8"/>
        <v>46290</v>
      </c>
      <c r="S34" s="319" t="str">
        <f>IF(Sept!$P33&gt;0,"K",IF(Sept!$Q33&gt;0,"U",IF(Sept!$T33="","",Sept!$T33)))</f>
        <v/>
      </c>
      <c r="T34" s="318">
        <f t="shared" si="9"/>
        <v>46320</v>
      </c>
      <c r="U34" s="319" t="str">
        <f>IF(Okt!$P33&gt;0,"K",IF(Okt!$Q33&gt;0,"U",IF(Okt!$T33="","",Okt!$T33)))</f>
        <v/>
      </c>
      <c r="V34" s="318">
        <f t="shared" si="10"/>
        <v>46351</v>
      </c>
      <c r="W34" s="319" t="str">
        <f>IF(Nov!$P33&gt;0,"K",IF(Nov!$Q33&gt;0,"U",IF(Nov!$T33="","",Nov!$T33)))</f>
        <v/>
      </c>
      <c r="X34" s="318">
        <f t="shared" si="11"/>
        <v>46381</v>
      </c>
      <c r="Y34" s="324" t="str">
        <f>IF(Dez!$P33&gt;0,"K",IF(Dez!$Q33&gt;0,"U",IF(Dez!$T33="","",Dez!$T33)))</f>
        <v/>
      </c>
    </row>
    <row r="35" spans="1:25" ht="12.4" customHeight="1">
      <c r="A35" s="91"/>
      <c r="B35" s="318">
        <f t="shared" si="0"/>
        <v>46048</v>
      </c>
      <c r="C35" s="319" t="str">
        <f>IF(Jän!$P34&gt;0,"K",IF(Jän!$Q34&gt;0,"U",IF(Jän!$T34="","",Jän!$T34)))</f>
        <v/>
      </c>
      <c r="D35" s="318">
        <f t="shared" si="1"/>
        <v>46079</v>
      </c>
      <c r="E35" s="319" t="str">
        <f>IF(Feb!$P34&gt;0,"K",IF(Feb!$Q34&gt;0,"U",IF(Feb!$T34="","",Feb!$T34)))</f>
        <v/>
      </c>
      <c r="F35" s="318">
        <f t="shared" si="2"/>
        <v>46107</v>
      </c>
      <c r="G35" s="319" t="str">
        <f>IF(März!$P34&gt;0,"K",IF(März!$Q34&gt;0,"U",IF(März!$T34="","",März!$T34)))</f>
        <v/>
      </c>
      <c r="H35" s="318">
        <f t="shared" si="3"/>
        <v>46138</v>
      </c>
      <c r="I35" s="319" t="str">
        <f>IF(April!$P34&gt;0,"K",IF(April!$Q34&gt;0,"U",IF(April!$T34="","",April!$T34)))</f>
        <v/>
      </c>
      <c r="J35" s="318">
        <f t="shared" si="4"/>
        <v>46168</v>
      </c>
      <c r="K35" s="319" t="str">
        <f>IF(Mai!$P34&gt;0,"K",IF(Mai!$Q34&gt;0,"U",IF(Mai!$T34="","",Mai!$T34)))</f>
        <v/>
      </c>
      <c r="L35" s="318">
        <f t="shared" si="5"/>
        <v>46199</v>
      </c>
      <c r="M35" s="319" t="str">
        <f>IF(Juni!$P34&gt;0,"K",IF(Juni!$Q34&gt;0,"U",IF(Juni!$T34="","",Juni!$T34)))</f>
        <v/>
      </c>
      <c r="N35" s="318">
        <f t="shared" si="6"/>
        <v>46229</v>
      </c>
      <c r="O35" s="319" t="str">
        <f>IF(Juli!$P34&gt;0,"K",IF(Juli!$Q34&gt;0,"U",IF(Juli!$T34="","",Juli!$T34)))</f>
        <v/>
      </c>
      <c r="P35" s="318">
        <f t="shared" si="7"/>
        <v>46260</v>
      </c>
      <c r="Q35" s="319" t="str">
        <f>IF(Aug!$P34&gt;0,"K",IF(Aug!$Q34&gt;0,"U",IF(Aug!$T34="","",Aug!$T34)))</f>
        <v/>
      </c>
      <c r="R35" s="318">
        <f t="shared" si="8"/>
        <v>46291</v>
      </c>
      <c r="S35" s="319" t="str">
        <f>IF(Sept!$P34&gt;0,"K",IF(Sept!$Q34&gt;0,"U",IF(Sept!$T34="","",Sept!$T34)))</f>
        <v/>
      </c>
      <c r="T35" s="318">
        <f t="shared" si="9"/>
        <v>46321</v>
      </c>
      <c r="U35" s="319" t="str">
        <f>IF(Okt!$P34&gt;0,"K",IF(Okt!$Q34&gt;0,"U",IF(Okt!$T34="","",Okt!$T34)))</f>
        <v/>
      </c>
      <c r="V35" s="318">
        <f t="shared" si="10"/>
        <v>46352</v>
      </c>
      <c r="W35" s="319" t="str">
        <f>IF(Nov!$P34&gt;0,"K",IF(Nov!$Q34&gt;0,"U",IF(Nov!$T34="","",Nov!$T34)))</f>
        <v/>
      </c>
      <c r="X35" s="318">
        <f t="shared" si="11"/>
        <v>46382</v>
      </c>
      <c r="Y35" s="324" t="str">
        <f>IF(Dez!$P34&gt;0,"K",IF(Dez!$Q34&gt;0,"U",IF(Dez!$T34="","",Dez!$T34)))</f>
        <v/>
      </c>
    </row>
    <row r="36" spans="1:25" ht="12.4" customHeight="1">
      <c r="A36" s="91"/>
      <c r="B36" s="318">
        <f t="shared" si="0"/>
        <v>46049</v>
      </c>
      <c r="C36" s="319" t="str">
        <f>IF(Jän!$P35&gt;0,"K",IF(Jän!$Q35&gt;0,"U",IF(Jän!$T35="","",Jän!$T35)))</f>
        <v/>
      </c>
      <c r="D36" s="318">
        <f t="shared" si="1"/>
        <v>46080</v>
      </c>
      <c r="E36" s="319" t="str">
        <f>IF(Feb!$P35&gt;0,"K",IF(Feb!$Q35&gt;0,"U",IF(Feb!$T35="","",Feb!$T35)))</f>
        <v/>
      </c>
      <c r="F36" s="318">
        <f t="shared" si="2"/>
        <v>46108</v>
      </c>
      <c r="G36" s="319" t="str">
        <f>IF(März!$P35&gt;0,"K",IF(März!$Q35&gt;0,"U",IF(März!$T35="","",März!$T35)))</f>
        <v/>
      </c>
      <c r="H36" s="318">
        <f t="shared" si="3"/>
        <v>46139</v>
      </c>
      <c r="I36" s="319" t="str">
        <f>IF(April!$P35&gt;0,"K",IF(April!$Q35&gt;0,"U",IF(April!$T35="","",April!$T35)))</f>
        <v/>
      </c>
      <c r="J36" s="318">
        <f t="shared" si="4"/>
        <v>46169</v>
      </c>
      <c r="K36" s="319" t="str">
        <f>IF(Mai!$P35&gt;0,"K",IF(Mai!$Q35&gt;0,"U",IF(Mai!$T35="","",Mai!$T35)))</f>
        <v/>
      </c>
      <c r="L36" s="318">
        <f t="shared" si="5"/>
        <v>46200</v>
      </c>
      <c r="M36" s="319" t="str">
        <f>IF(Juni!$P35&gt;0,"K",IF(Juni!$Q35&gt;0,"U",IF(Juni!$T35="","",Juni!$T35)))</f>
        <v/>
      </c>
      <c r="N36" s="318">
        <f t="shared" si="6"/>
        <v>46230</v>
      </c>
      <c r="O36" s="319" t="str">
        <f>IF(Juli!$P35&gt;0,"K",IF(Juli!$Q35&gt;0,"U",IF(Juli!$T35="","",Juli!$T35)))</f>
        <v/>
      </c>
      <c r="P36" s="318">
        <f t="shared" si="7"/>
        <v>46261</v>
      </c>
      <c r="Q36" s="319" t="str">
        <f>IF(Aug!$P35&gt;0,"K",IF(Aug!$Q35&gt;0,"U",IF(Aug!$T35="","",Aug!$T35)))</f>
        <v/>
      </c>
      <c r="R36" s="318">
        <f t="shared" si="8"/>
        <v>46292</v>
      </c>
      <c r="S36" s="319" t="str">
        <f>IF(Sept!$P35&gt;0,"K",IF(Sept!$Q35&gt;0,"U",IF(Sept!$T35="","",Sept!$T35)))</f>
        <v/>
      </c>
      <c r="T36" s="318">
        <f t="shared" si="9"/>
        <v>46322</v>
      </c>
      <c r="U36" s="319" t="str">
        <f>IF(Okt!$P35&gt;0,"K",IF(Okt!$Q35&gt;0,"U",IF(Okt!$T35="","",Okt!$T35)))</f>
        <v/>
      </c>
      <c r="V36" s="318">
        <f t="shared" si="10"/>
        <v>46353</v>
      </c>
      <c r="W36" s="319" t="str">
        <f>IF(Nov!$P35&gt;0,"K",IF(Nov!$Q35&gt;0,"U",IF(Nov!$T35="","",Nov!$T35)))</f>
        <v/>
      </c>
      <c r="X36" s="318">
        <f t="shared" si="11"/>
        <v>46383</v>
      </c>
      <c r="Y36" s="324" t="str">
        <f>IF(Dez!$P35&gt;0,"K",IF(Dez!$Q35&gt;0,"U",IF(Dez!$T35="","",Dez!$T35)))</f>
        <v/>
      </c>
    </row>
    <row r="37" spans="1:25" ht="12.4" customHeight="1">
      <c r="A37" s="91"/>
      <c r="B37" s="318">
        <f t="shared" si="0"/>
        <v>46050</v>
      </c>
      <c r="C37" s="319" t="str">
        <f>IF(Jän!$P36&gt;0,"K",IF(Jän!$Q36&gt;0,"U",IF(Jän!$T36="","",Jän!$T36)))</f>
        <v/>
      </c>
      <c r="D37" s="318">
        <f t="shared" si="1"/>
        <v>46081</v>
      </c>
      <c r="E37" s="319" t="str">
        <f>IF(Feb!$P36&gt;0,"K",IF(Feb!$Q36&gt;0,"U",IF(Feb!$T36="","",Feb!$T36)))</f>
        <v/>
      </c>
      <c r="F37" s="318">
        <f t="shared" si="2"/>
        <v>46109</v>
      </c>
      <c r="G37" s="319" t="str">
        <f>IF(März!$P36&gt;0,"K",IF(März!$Q36&gt;0,"U",IF(März!$T36="","",März!$T36)))</f>
        <v/>
      </c>
      <c r="H37" s="318">
        <f t="shared" si="3"/>
        <v>46140</v>
      </c>
      <c r="I37" s="319" t="str">
        <f>IF(April!$P36&gt;0,"K",IF(April!$Q36&gt;0,"U",IF(April!$T36="","",April!$T36)))</f>
        <v/>
      </c>
      <c r="J37" s="318">
        <f t="shared" si="4"/>
        <v>46170</v>
      </c>
      <c r="K37" s="319" t="str">
        <f>IF(Mai!$P36&gt;0,"K",IF(Mai!$Q36&gt;0,"U",IF(Mai!$T36="","",Mai!$T36)))</f>
        <v/>
      </c>
      <c r="L37" s="318">
        <f t="shared" si="5"/>
        <v>46201</v>
      </c>
      <c r="M37" s="319" t="str">
        <f>IF(Juni!$P36&gt;0,"K",IF(Juni!$Q36&gt;0,"U",IF(Juni!$T36="","",Juni!$T36)))</f>
        <v/>
      </c>
      <c r="N37" s="318">
        <f t="shared" si="6"/>
        <v>46231</v>
      </c>
      <c r="O37" s="319" t="str">
        <f>IF(Juli!$P36&gt;0,"K",IF(Juli!$Q36&gt;0,"U",IF(Juli!$T36="","",Juli!$T36)))</f>
        <v/>
      </c>
      <c r="P37" s="318">
        <f t="shared" si="7"/>
        <v>46262</v>
      </c>
      <c r="Q37" s="319" t="str">
        <f>IF(Aug!$P36&gt;0,"K",IF(Aug!$Q36&gt;0,"U",IF(Aug!$T36="","",Aug!$T36)))</f>
        <v/>
      </c>
      <c r="R37" s="318">
        <f t="shared" si="8"/>
        <v>46293</v>
      </c>
      <c r="S37" s="319" t="str">
        <f>IF(Sept!$P36&gt;0,"K",IF(Sept!$Q36&gt;0,"U",IF(Sept!$T36="","",Sept!$T36)))</f>
        <v/>
      </c>
      <c r="T37" s="318">
        <f t="shared" si="9"/>
        <v>46323</v>
      </c>
      <c r="U37" s="319" t="str">
        <f>IF(Okt!$P36&gt;0,"K",IF(Okt!$Q36&gt;0,"U",IF(Okt!$T36="","",Okt!$T36)))</f>
        <v/>
      </c>
      <c r="V37" s="318">
        <f t="shared" si="10"/>
        <v>46354</v>
      </c>
      <c r="W37" s="319" t="str">
        <f>IF(Nov!$P36&gt;0,"K",IF(Nov!$Q36&gt;0,"U",IF(Nov!$T36="","",Nov!$T36)))</f>
        <v/>
      </c>
      <c r="X37" s="318">
        <f t="shared" si="11"/>
        <v>46384</v>
      </c>
      <c r="Y37" s="324" t="str">
        <f>IF(Dez!$P36&gt;0,"K",IF(Dez!$Q36&gt;0,"U",IF(Dez!$T36="","",Dez!$T36)))</f>
        <v/>
      </c>
    </row>
    <row r="38" spans="1:25" ht="12.4" customHeight="1">
      <c r="A38" s="91"/>
      <c r="B38" s="318">
        <f t="shared" si="0"/>
        <v>46051</v>
      </c>
      <c r="C38" s="319" t="str">
        <f>IF(Jän!$P37&gt;0,"K",IF(Jän!$Q37&gt;0,"U",IF(Jän!$T37="","",Jän!$T37)))</f>
        <v/>
      </c>
      <c r="D38" s="318" t="str">
        <f>IF(MONTH(D37+1)=MONTH(D37),D37+1,"")</f>
        <v/>
      </c>
      <c r="E38" s="319" t="str">
        <f>IF(Feb!$P37&gt;0,"K",IF(Feb!$Q37&gt;0,"U",IF(Feb!$T37="","",Feb!$T37)))</f>
        <v/>
      </c>
      <c r="F38" s="318">
        <f t="shared" si="2"/>
        <v>46110</v>
      </c>
      <c r="G38" s="319" t="str">
        <f>IF(März!$P37&gt;0,"K",IF(März!$Q37&gt;0,"U",IF(März!$T37="","",März!$T37)))</f>
        <v/>
      </c>
      <c r="H38" s="318">
        <f t="shared" si="3"/>
        <v>46141</v>
      </c>
      <c r="I38" s="319" t="str">
        <f>IF(April!$P37&gt;0,"K",IF(April!$Q37&gt;0,"U",IF(April!$T37="","",April!$T37)))</f>
        <v/>
      </c>
      <c r="J38" s="318">
        <f t="shared" si="4"/>
        <v>46171</v>
      </c>
      <c r="K38" s="319" t="str">
        <f>IF(Mai!$P37&gt;0,"K",IF(Mai!$Q37&gt;0,"U",IF(Mai!$T37="","",Mai!$T37)))</f>
        <v/>
      </c>
      <c r="L38" s="318">
        <f t="shared" si="5"/>
        <v>46202</v>
      </c>
      <c r="M38" s="319" t="str">
        <f>IF(Juni!$P37&gt;0,"K",IF(Juni!$Q37&gt;0,"U",IF(Juni!$T37="","",Juni!$T37)))</f>
        <v/>
      </c>
      <c r="N38" s="318">
        <f t="shared" si="6"/>
        <v>46232</v>
      </c>
      <c r="O38" s="319" t="str">
        <f>IF(Juli!$P37&gt;0,"K",IF(Juli!$Q37&gt;0,"U",IF(Juli!$T37="","",Juli!$T37)))</f>
        <v/>
      </c>
      <c r="P38" s="318">
        <f t="shared" si="7"/>
        <v>46263</v>
      </c>
      <c r="Q38" s="319" t="str">
        <f>IF(Aug!$P37&gt;0,"K",IF(Aug!$Q37&gt;0,"U",IF(Aug!$T37="","",Aug!$T37)))</f>
        <v/>
      </c>
      <c r="R38" s="318">
        <f t="shared" si="8"/>
        <v>46294</v>
      </c>
      <c r="S38" s="319" t="str">
        <f>IF(Sept!$P37&gt;0,"K",IF(Sept!$Q37&gt;0,"U",IF(Sept!$T37="","",Sept!$T37)))</f>
        <v/>
      </c>
      <c r="T38" s="318">
        <f t="shared" si="9"/>
        <v>46324</v>
      </c>
      <c r="U38" s="319" t="str">
        <f>IF(Okt!$P37&gt;0,"K",IF(Okt!$Q37&gt;0,"U",IF(Okt!$T37="","",Okt!$T37)))</f>
        <v/>
      </c>
      <c r="V38" s="318">
        <f t="shared" si="10"/>
        <v>46355</v>
      </c>
      <c r="W38" s="319" t="str">
        <f>IF(Nov!$P37&gt;0,"K",IF(Nov!$Q37&gt;0,"U",IF(Nov!$T37="","",Nov!$T37)))</f>
        <v/>
      </c>
      <c r="X38" s="318">
        <f t="shared" si="11"/>
        <v>46385</v>
      </c>
      <c r="Y38" s="324" t="str">
        <f>IF(Dez!$P37&gt;0,"K",IF(Dez!$Q37&gt;0,"U",IF(Dez!$T37="","",Dez!$T37)))</f>
        <v/>
      </c>
    </row>
    <row r="39" spans="1:25" ht="12.4" customHeight="1">
      <c r="B39" s="318">
        <f t="shared" si="0"/>
        <v>46052</v>
      </c>
      <c r="C39" s="319" t="str">
        <f>IF(Jän!$P38&gt;0,"K",IF(Jän!$Q38&gt;0,"U",IF(Jän!$T38="","",Jän!$T38)))</f>
        <v/>
      </c>
      <c r="D39" s="325"/>
      <c r="E39" s="319"/>
      <c r="F39" s="318">
        <f t="shared" si="2"/>
        <v>46111</v>
      </c>
      <c r="G39" s="319" t="str">
        <f>IF(März!$P38&gt;0,"K",IF(März!$Q38&gt;0,"U",IF(März!$T38="","",März!$T38)))</f>
        <v/>
      </c>
      <c r="H39" s="318">
        <f t="shared" si="3"/>
        <v>46142</v>
      </c>
      <c r="I39" s="319" t="str">
        <f>IF(April!$P38&gt;0,"K",IF(April!$Q38&gt;0,"U",IF(April!$T38="","",April!$T38)))</f>
        <v/>
      </c>
      <c r="J39" s="318">
        <f t="shared" si="4"/>
        <v>46172</v>
      </c>
      <c r="K39" s="319" t="str">
        <f>IF(Mai!$P38&gt;0,"K",IF(Mai!$Q38&gt;0,"U",IF(Mai!$T38="","",Mai!$T38)))</f>
        <v/>
      </c>
      <c r="L39" s="318">
        <f t="shared" si="5"/>
        <v>46203</v>
      </c>
      <c r="M39" s="319" t="str">
        <f>IF(Juni!$P38&gt;0,"K",IF(Juni!$Q38&gt;0,"U",IF(Juni!$T38="","",Juni!$T38)))</f>
        <v/>
      </c>
      <c r="N39" s="318">
        <f t="shared" si="6"/>
        <v>46233</v>
      </c>
      <c r="O39" s="319" t="str">
        <f>IF(Juli!$P38&gt;0,"K",IF(Juli!$Q38&gt;0,"U",IF(Juli!$T38="","",Juli!$T38)))</f>
        <v/>
      </c>
      <c r="P39" s="318">
        <f t="shared" si="7"/>
        <v>46264</v>
      </c>
      <c r="Q39" s="319" t="str">
        <f>IF(Aug!$P38&gt;0,"K",IF(Aug!$Q38&gt;0,"U",IF(Aug!$T38="","",Aug!$T38)))</f>
        <v/>
      </c>
      <c r="R39" s="318">
        <f t="shared" si="8"/>
        <v>46295</v>
      </c>
      <c r="S39" s="319" t="str">
        <f>IF(Sept!$P38&gt;0,"K",IF(Sept!$Q38&gt;0,"U",IF(Sept!$T38="","",Sept!$T38)))</f>
        <v/>
      </c>
      <c r="T39" s="318">
        <f t="shared" si="9"/>
        <v>46325</v>
      </c>
      <c r="U39" s="319" t="str">
        <f>IF(Okt!$P38&gt;0,"K",IF(Okt!$Q38&gt;0,"U",IF(Okt!$T38="","",Okt!$T38)))</f>
        <v/>
      </c>
      <c r="V39" s="318">
        <f t="shared" si="10"/>
        <v>46356</v>
      </c>
      <c r="W39" s="319" t="str">
        <f>IF(Nov!$P38&gt;0,"K",IF(Nov!$Q38&gt;0,"U",IF(Nov!$T38="","",Nov!$T38)))</f>
        <v/>
      </c>
      <c r="X39" s="318">
        <f t="shared" si="11"/>
        <v>46386</v>
      </c>
      <c r="Y39" s="324" t="str">
        <f>IF(Dez!$P38&gt;0,"K",IF(Dez!$Q38&gt;0,"U",IF(Dez!$T38="","",Dez!$T38)))</f>
        <v/>
      </c>
    </row>
    <row r="40" spans="1:25" ht="12.4" customHeight="1">
      <c r="B40" s="326">
        <f t="shared" si="0"/>
        <v>46053</v>
      </c>
      <c r="C40" s="327" t="str">
        <f>IF(Jän!$P39&gt;0,"K",IF(Jän!$Q39&gt;0,"U",IF(Jän!$T39="","",Jän!$T39)))</f>
        <v/>
      </c>
      <c r="D40" s="328"/>
      <c r="E40" s="327"/>
      <c r="F40" s="326">
        <f t="shared" si="2"/>
        <v>46112</v>
      </c>
      <c r="G40" s="327" t="str">
        <f>IF(März!$P39&gt;0,"K",IF(März!$Q39&gt;0,"U",IF(März!$T39="","",März!$T39)))</f>
        <v/>
      </c>
      <c r="H40" s="328"/>
      <c r="I40" s="327"/>
      <c r="J40" s="326">
        <f t="shared" si="4"/>
        <v>46173</v>
      </c>
      <c r="K40" s="327" t="str">
        <f>IF(Mai!$P39&gt;0,"K",IF(Mai!$Q39&gt;0,"U",IF(Mai!$T39="","",Mai!$T39)))</f>
        <v/>
      </c>
      <c r="L40" s="328"/>
      <c r="M40" s="327"/>
      <c r="N40" s="326">
        <f t="shared" si="6"/>
        <v>46234</v>
      </c>
      <c r="O40" s="327" t="str">
        <f>IF(Juli!$P39&gt;0,"K",IF(Juli!$Q39&gt;0,"U",IF(Juli!$T39="","",Juli!$T39)))</f>
        <v/>
      </c>
      <c r="P40" s="326">
        <f t="shared" si="7"/>
        <v>46265</v>
      </c>
      <c r="Q40" s="327" t="str">
        <f>IF(Aug!$P39&gt;0,"K",IF(Aug!$Q39&gt;0,"U",IF(Aug!$T39="","",Aug!$T39)))</f>
        <v/>
      </c>
      <c r="R40" s="328"/>
      <c r="S40" s="327"/>
      <c r="T40" s="326">
        <f t="shared" si="9"/>
        <v>46326</v>
      </c>
      <c r="U40" s="327" t="str">
        <f>IF(Okt!$P39&gt;0,"K",IF(Okt!$Q39&gt;0,"U",IF(Okt!$T39="","",Okt!$T39)))</f>
        <v/>
      </c>
      <c r="V40" s="328"/>
      <c r="W40" s="327"/>
      <c r="X40" s="326">
        <f t="shared" si="11"/>
        <v>46387</v>
      </c>
      <c r="Y40" s="329" t="str">
        <f>IF(Dez!$P39&gt;0,"K",IF(Dez!$Q39&gt;0,"U",IF(Dez!$T39="","",Dez!$T39)))</f>
        <v/>
      </c>
    </row>
  </sheetData>
  <sheetProtection sheet="1" objects="1" scenarios="1" selectLockedCells="1"/>
  <mergeCells count="21">
    <mergeCell ref="X7:Y7"/>
    <mergeCell ref="W4:X4"/>
    <mergeCell ref="F6:G6"/>
    <mergeCell ref="L6:M6"/>
    <mergeCell ref="W6:Y6"/>
    <mergeCell ref="K7:L7"/>
    <mergeCell ref="M7:O7"/>
    <mergeCell ref="F7:G7"/>
    <mergeCell ref="P7:Q7"/>
    <mergeCell ref="X9:Y9"/>
    <mergeCell ref="P9:Q9"/>
    <mergeCell ref="B9:C9"/>
    <mergeCell ref="D9:E9"/>
    <mergeCell ref="F9:G9"/>
    <mergeCell ref="H9:I9"/>
    <mergeCell ref="T9:U9"/>
    <mergeCell ref="V9:W9"/>
    <mergeCell ref="R9:S9"/>
    <mergeCell ref="J9:K9"/>
    <mergeCell ref="L9:M9"/>
    <mergeCell ref="N9:O9"/>
  </mergeCells>
  <phoneticPr fontId="2" type="noConversion"/>
  <conditionalFormatting sqref="B10">
    <cfRule type="expression" dxfId="1099" priority="1073" stopIfTrue="1">
      <formula>WEEKDAY($B$10)=7</formula>
    </cfRule>
    <cfRule type="expression" dxfId="1098" priority="1072" stopIfTrue="1">
      <formula>WEEKDAY($B$10)=1</formula>
    </cfRule>
    <cfRule type="expression" dxfId="1097" priority="1071" stopIfTrue="1">
      <formula>MATCH($B$10,$A$10:$A$32,0)</formula>
    </cfRule>
  </conditionalFormatting>
  <conditionalFormatting sqref="B11">
    <cfRule type="expression" dxfId="1096" priority="1076" stopIfTrue="1">
      <formula>WEEKDAY($B$11)=7</formula>
    </cfRule>
    <cfRule type="expression" dxfId="1095" priority="1075" stopIfTrue="1">
      <formula>WEEKDAY($B$11)=1</formula>
    </cfRule>
    <cfRule type="expression" dxfId="1094" priority="1074" stopIfTrue="1">
      <formula>MATCH($B$11,$A$10:$A$32,0)</formula>
    </cfRule>
  </conditionalFormatting>
  <conditionalFormatting sqref="B12">
    <cfRule type="expression" dxfId="1093" priority="6" stopIfTrue="1">
      <formula>MATCH($B$12,$A$10:$A$29,0)</formula>
    </cfRule>
    <cfRule type="expression" dxfId="1092" priority="7" stopIfTrue="1">
      <formula>WEEKDAY($B$12)=1</formula>
    </cfRule>
    <cfRule type="expression" dxfId="1091" priority="8" stopIfTrue="1">
      <formula>WEEKDAY($B$12)=7</formula>
    </cfRule>
  </conditionalFormatting>
  <conditionalFormatting sqref="B13">
    <cfRule type="expression" dxfId="1090" priority="9" stopIfTrue="1">
      <formula>MATCH($B$13,$A$10:$A$29,0)</formula>
    </cfRule>
    <cfRule type="expression" dxfId="1089" priority="11" stopIfTrue="1">
      <formula>WEEKDAY($B$13)=7</formula>
    </cfRule>
    <cfRule type="expression" dxfId="1088" priority="10" stopIfTrue="1">
      <formula>WEEKDAY($B$13)=1</formula>
    </cfRule>
  </conditionalFormatting>
  <conditionalFormatting sqref="B14">
    <cfRule type="expression" dxfId="1087" priority="12" stopIfTrue="1">
      <formula>MATCH($B$14,$A$10:$A$29,0)</formula>
    </cfRule>
    <cfRule type="expression" dxfId="1086" priority="13" stopIfTrue="1">
      <formula>WEEKDAY($B$14)=1</formula>
    </cfRule>
    <cfRule type="expression" dxfId="1085" priority="14" stopIfTrue="1">
      <formula>WEEKDAY($B$14)=7</formula>
    </cfRule>
  </conditionalFormatting>
  <conditionalFormatting sqref="B15">
    <cfRule type="expression" dxfId="1084" priority="15" stopIfTrue="1">
      <formula>MATCH($B$15,$A$10:$A$29,0)</formula>
    </cfRule>
    <cfRule type="expression" dxfId="1083" priority="16" stopIfTrue="1">
      <formula>WEEKDAY($B$15)=1</formula>
    </cfRule>
    <cfRule type="expression" dxfId="1082" priority="17" stopIfTrue="1">
      <formula>WEEKDAY($B$15)=7</formula>
    </cfRule>
  </conditionalFormatting>
  <conditionalFormatting sqref="B16">
    <cfRule type="expression" dxfId="1081" priority="19" stopIfTrue="1">
      <formula>WEEKDAY($B$16)=1</formula>
    </cfRule>
    <cfRule type="expression" dxfId="1080" priority="18" stopIfTrue="1">
      <formula>MATCH($B$16,$A$10:$A$29,0)</formula>
    </cfRule>
    <cfRule type="expression" dxfId="1079" priority="20" stopIfTrue="1">
      <formula>WEEKDAY($B$16)=7</formula>
    </cfRule>
  </conditionalFormatting>
  <conditionalFormatting sqref="B17">
    <cfRule type="expression" dxfId="1078" priority="21" stopIfTrue="1">
      <formula>MATCH($B$17,$A$10:$A$29,0)</formula>
    </cfRule>
    <cfRule type="expression" dxfId="1077" priority="22" stopIfTrue="1">
      <formula>WEEKDAY($B$17)=1</formula>
    </cfRule>
    <cfRule type="expression" dxfId="1076" priority="23" stopIfTrue="1">
      <formula>WEEKDAY($B$17)=7</formula>
    </cfRule>
  </conditionalFormatting>
  <conditionalFormatting sqref="B18">
    <cfRule type="expression" dxfId="1075" priority="24" stopIfTrue="1">
      <formula>MATCH($B$18,$A$10:$A$29,0)</formula>
    </cfRule>
    <cfRule type="expression" dxfId="1074" priority="25" stopIfTrue="1">
      <formula>WEEKDAY($B$18)=1</formula>
    </cfRule>
    <cfRule type="expression" dxfId="1073" priority="26" stopIfTrue="1">
      <formula>WEEKDAY($B$18)=7</formula>
    </cfRule>
  </conditionalFormatting>
  <conditionalFormatting sqref="B19">
    <cfRule type="expression" dxfId="1072" priority="27" stopIfTrue="1">
      <formula>MATCH($B$19,$A$10:$A$29,0)</formula>
    </cfRule>
    <cfRule type="expression" dxfId="1071" priority="28" stopIfTrue="1">
      <formula>WEEKDAY($B$19)=1</formula>
    </cfRule>
    <cfRule type="expression" dxfId="1070" priority="29" stopIfTrue="1">
      <formula>WEEKDAY($B$19)=7</formula>
    </cfRule>
  </conditionalFormatting>
  <conditionalFormatting sqref="B20">
    <cfRule type="expression" dxfId="1069" priority="30" stopIfTrue="1">
      <formula>MATCH($B$20,$A$10:$A$29,0)</formula>
    </cfRule>
    <cfRule type="expression" dxfId="1068" priority="31" stopIfTrue="1">
      <formula>WEEKDAY($B$20)=1</formula>
    </cfRule>
    <cfRule type="expression" dxfId="1067" priority="32" stopIfTrue="1">
      <formula>WEEKDAY($B$20)=7</formula>
    </cfRule>
  </conditionalFormatting>
  <conditionalFormatting sqref="B21">
    <cfRule type="expression" dxfId="1066" priority="33" stopIfTrue="1">
      <formula>MATCH($B$21,$A$10:$A$29,0)</formula>
    </cfRule>
    <cfRule type="expression" dxfId="1065" priority="34" stopIfTrue="1">
      <formula>WEEKDAY($B$21)=1</formula>
    </cfRule>
    <cfRule type="expression" dxfId="1064" priority="35" stopIfTrue="1">
      <formula>WEEKDAY($B$21)=7</formula>
    </cfRule>
  </conditionalFormatting>
  <conditionalFormatting sqref="B22">
    <cfRule type="expression" dxfId="1063" priority="37" stopIfTrue="1">
      <formula>WEEKDAY($B$22)=1</formula>
    </cfRule>
    <cfRule type="expression" dxfId="1062" priority="38" stopIfTrue="1">
      <formula>WEEKDAY($B$22)=7</formula>
    </cfRule>
    <cfRule type="expression" dxfId="1061" priority="36" stopIfTrue="1">
      <formula>MATCH($B$22,$A$10:$A$29,0)</formula>
    </cfRule>
  </conditionalFormatting>
  <conditionalFormatting sqref="B23">
    <cfRule type="expression" dxfId="1060" priority="40" stopIfTrue="1">
      <formula>WEEKDAY($B$23)=1</formula>
    </cfRule>
    <cfRule type="expression" dxfId="1059" priority="41" stopIfTrue="1">
      <formula>WEEKDAY($B$23)=7</formula>
    </cfRule>
    <cfRule type="expression" dxfId="1058" priority="39" stopIfTrue="1">
      <formula>MATCH($B$23,$A$10:$A$29,0)</formula>
    </cfRule>
  </conditionalFormatting>
  <conditionalFormatting sqref="B24">
    <cfRule type="expression" dxfId="1057" priority="42" stopIfTrue="1">
      <formula>MATCH($B$24,$A$10:$A$29,0)</formula>
    </cfRule>
    <cfRule type="expression" dxfId="1056" priority="43" stopIfTrue="1">
      <formula>WEEKDAY($B$24)=1</formula>
    </cfRule>
    <cfRule type="expression" dxfId="1055" priority="44" stopIfTrue="1">
      <formula>WEEKDAY($B$24)=7</formula>
    </cfRule>
  </conditionalFormatting>
  <conditionalFormatting sqref="B25">
    <cfRule type="expression" dxfId="1054" priority="45" stopIfTrue="1">
      <formula>MATCH($B$25,$A$10:$A$29,0)</formula>
    </cfRule>
    <cfRule type="expression" dxfId="1053" priority="46" stopIfTrue="1">
      <formula>WEEKDAY($B$25)=1</formula>
    </cfRule>
    <cfRule type="expression" dxfId="1052" priority="47" stopIfTrue="1">
      <formula>WEEKDAY($B$25)=7</formula>
    </cfRule>
  </conditionalFormatting>
  <conditionalFormatting sqref="B26">
    <cfRule type="expression" dxfId="1051" priority="48" stopIfTrue="1">
      <formula>MATCH($B$26,$A$10:$A$29,0)</formula>
    </cfRule>
    <cfRule type="expression" dxfId="1050" priority="49" stopIfTrue="1">
      <formula>WEEKDAY($B$26)=1</formula>
    </cfRule>
    <cfRule type="expression" dxfId="1049" priority="50" stopIfTrue="1">
      <formula>WEEKDAY($B$26)=7</formula>
    </cfRule>
  </conditionalFormatting>
  <conditionalFormatting sqref="B27">
    <cfRule type="expression" dxfId="1048" priority="51" stopIfTrue="1">
      <formula>MATCH($B$27,$A$10:$A$29,0)</formula>
    </cfRule>
    <cfRule type="expression" dxfId="1047" priority="52" stopIfTrue="1">
      <formula>WEEKDAY($B$27)=1</formula>
    </cfRule>
    <cfRule type="expression" dxfId="1046" priority="53" stopIfTrue="1">
      <formula>WEEKDAY($B$27)=7</formula>
    </cfRule>
  </conditionalFormatting>
  <conditionalFormatting sqref="B28">
    <cfRule type="expression" dxfId="1045" priority="55" stopIfTrue="1">
      <formula>WEEKDAY($B$28)=1</formula>
    </cfRule>
    <cfRule type="expression" dxfId="1044" priority="56" stopIfTrue="1">
      <formula>WEEKDAY($B$28)=7</formula>
    </cfRule>
    <cfRule type="expression" dxfId="1043" priority="54" stopIfTrue="1">
      <formula>MATCH($B$28,$A$10:$A$29,0)</formula>
    </cfRule>
  </conditionalFormatting>
  <conditionalFormatting sqref="B29">
    <cfRule type="expression" dxfId="1042" priority="58" stopIfTrue="1">
      <formula>WEEKDAY($B$29)=1</formula>
    </cfRule>
    <cfRule type="expression" dxfId="1041" priority="59" stopIfTrue="1">
      <formula>WEEKDAY($B$29)=7</formula>
    </cfRule>
    <cfRule type="expression" dxfId="1040" priority="57" stopIfTrue="1">
      <formula>MATCH($B$29,$A$10:$A$29,0)</formula>
    </cfRule>
  </conditionalFormatting>
  <conditionalFormatting sqref="B30">
    <cfRule type="expression" dxfId="1039" priority="60" stopIfTrue="1">
      <formula>MATCH($B$30,$A$10:$A$29,0)</formula>
    </cfRule>
    <cfRule type="expression" dxfId="1038" priority="61" stopIfTrue="1">
      <formula>WEEKDAY($B$30)=1</formula>
    </cfRule>
    <cfRule type="expression" dxfId="1037" priority="62" stopIfTrue="1">
      <formula>WEEKDAY($B$30)=7</formula>
    </cfRule>
  </conditionalFormatting>
  <conditionalFormatting sqref="B31">
    <cfRule type="expression" dxfId="1036" priority="64" stopIfTrue="1">
      <formula>WEEKDAY($B$31)=1</formula>
    </cfRule>
    <cfRule type="expression" dxfId="1035" priority="65" stopIfTrue="1">
      <formula>WEEKDAY($B$31)=7</formula>
    </cfRule>
    <cfRule type="expression" dxfId="1034" priority="63" stopIfTrue="1">
      <formula>MATCH($B$31,$A$10:$A$29,0)</formula>
    </cfRule>
  </conditionalFormatting>
  <conditionalFormatting sqref="B32">
    <cfRule type="expression" dxfId="1033" priority="66" stopIfTrue="1">
      <formula>MATCH($B$32,$A$10:$A$29,0)</formula>
    </cfRule>
    <cfRule type="expression" dxfId="1032" priority="67" stopIfTrue="1">
      <formula>WEEKDAY($B$32)=1</formula>
    </cfRule>
    <cfRule type="expression" dxfId="1031" priority="68" stopIfTrue="1">
      <formula>WEEKDAY($B$32)=7</formula>
    </cfRule>
  </conditionalFormatting>
  <conditionalFormatting sqref="B33">
    <cfRule type="expression" dxfId="1030" priority="69" stopIfTrue="1">
      <formula>MATCH($B$33,$A$10:$A$29,0)</formula>
    </cfRule>
    <cfRule type="expression" dxfId="1029" priority="70" stopIfTrue="1">
      <formula>WEEKDAY($B$33)=1</formula>
    </cfRule>
    <cfRule type="expression" dxfId="1028" priority="71" stopIfTrue="1">
      <formula>WEEKDAY($B$33)=7</formula>
    </cfRule>
  </conditionalFormatting>
  <conditionalFormatting sqref="B34">
    <cfRule type="expression" dxfId="1027" priority="73" stopIfTrue="1">
      <formula>WEEKDAY($B$34)=1</formula>
    </cfRule>
    <cfRule type="expression" dxfId="1026" priority="74" stopIfTrue="1">
      <formula>WEEKDAY($B$34)=7</formula>
    </cfRule>
    <cfRule type="expression" dxfId="1025" priority="72" stopIfTrue="1">
      <formula>MATCH($B$34,$A$10:$A$29,0)</formula>
    </cfRule>
  </conditionalFormatting>
  <conditionalFormatting sqref="B35">
    <cfRule type="expression" dxfId="1024" priority="76" stopIfTrue="1">
      <formula>WEEKDAY($B$35)=1</formula>
    </cfRule>
    <cfRule type="expression" dxfId="1023" priority="77" stopIfTrue="1">
      <formula>WEEKDAY($B$35)=7</formula>
    </cfRule>
    <cfRule type="expression" dxfId="1022" priority="75" stopIfTrue="1">
      <formula>MATCH($B$35,$A$10:$A$29,0)</formula>
    </cfRule>
  </conditionalFormatting>
  <conditionalFormatting sqref="B36">
    <cfRule type="expression" dxfId="1021" priority="78" stopIfTrue="1">
      <formula>MATCH($B$36,$A$10:$A$29,0)</formula>
    </cfRule>
    <cfRule type="expression" dxfId="1020" priority="79" stopIfTrue="1">
      <formula>WEEKDAY($B$36)=1</formula>
    </cfRule>
    <cfRule type="expression" dxfId="1019" priority="80" stopIfTrue="1">
      <formula>WEEKDAY($B$36)=7</formula>
    </cfRule>
  </conditionalFormatting>
  <conditionalFormatting sqref="B37">
    <cfRule type="expression" dxfId="1018" priority="81" stopIfTrue="1">
      <formula>MATCH($B$37,$A$10:$A$29,0)</formula>
    </cfRule>
    <cfRule type="expression" dxfId="1017" priority="82" stopIfTrue="1">
      <formula>WEEKDAY($B$37)=1</formula>
    </cfRule>
    <cfRule type="expression" dxfId="1016" priority="83" stopIfTrue="1">
      <formula>WEEKDAY($B$37)=7</formula>
    </cfRule>
  </conditionalFormatting>
  <conditionalFormatting sqref="B38">
    <cfRule type="expression" dxfId="1015" priority="84" stopIfTrue="1">
      <formula>MATCH($B$38,$A$10:$A$29,0)</formula>
    </cfRule>
    <cfRule type="expression" dxfId="1014" priority="85" stopIfTrue="1">
      <formula>WEEKDAY($B$38)=1</formula>
    </cfRule>
    <cfRule type="expression" dxfId="1013" priority="86" stopIfTrue="1">
      <formula>WEEKDAY($B$38)=7</formula>
    </cfRule>
  </conditionalFormatting>
  <conditionalFormatting sqref="B39">
    <cfRule type="expression" dxfId="1012" priority="87" stopIfTrue="1">
      <formula>MATCH($B$39,$A$10:$A$29,0)</formula>
    </cfRule>
    <cfRule type="expression" dxfId="1011" priority="88" stopIfTrue="1">
      <formula>WEEKDAY($B$39)=1</formula>
    </cfRule>
    <cfRule type="expression" dxfId="1010" priority="89" stopIfTrue="1">
      <formula>WEEKDAY($B$39)=7</formula>
    </cfRule>
  </conditionalFormatting>
  <conditionalFormatting sqref="B40">
    <cfRule type="expression" dxfId="1009" priority="90" stopIfTrue="1">
      <formula>MATCH($B$40,$A$10:$A$29,0)</formula>
    </cfRule>
    <cfRule type="expression" dxfId="1008" priority="91" stopIfTrue="1">
      <formula>WEEKDAY($B$40)=1</formula>
    </cfRule>
    <cfRule type="expression" dxfId="1007" priority="92" stopIfTrue="1">
      <formula>WEEKDAY($B$40)=7</formula>
    </cfRule>
  </conditionalFormatting>
  <conditionalFormatting sqref="C10:C40 E10:E40 G10:G40 I10:I40 K10:K40 M10:M40 O10:O40 Q10:Q40 S10:S40 U10:U40 W10:W40 Y10:Y40">
    <cfRule type="cellIs" dxfId="1006" priority="1" stopIfTrue="1" operator="equal">
      <formula>"U"</formula>
    </cfRule>
    <cfRule type="cellIs" dxfId="1005" priority="2" stopIfTrue="1" operator="equal">
      <formula>"K"</formula>
    </cfRule>
  </conditionalFormatting>
  <conditionalFormatting sqref="D10">
    <cfRule type="expression" dxfId="1004" priority="5" stopIfTrue="1">
      <formula>WEEKDAY($D$10)=7</formula>
    </cfRule>
    <cfRule type="expression" dxfId="1003" priority="4" stopIfTrue="1">
      <formula>WEEKDAY($D$10)=1</formula>
    </cfRule>
    <cfRule type="expression" dxfId="1002" priority="3" stopIfTrue="1">
      <formula>MATCH($D$10,$A$10:$A$29,0)</formula>
    </cfRule>
  </conditionalFormatting>
  <conditionalFormatting sqref="D11">
    <cfRule type="expression" dxfId="1001" priority="93" stopIfTrue="1">
      <formula>MATCH($D$11,$A$10:$A$29,0)</formula>
    </cfRule>
    <cfRule type="expression" dxfId="1000" priority="94" stopIfTrue="1">
      <formula>WEEKDAY($D$11)=1</formula>
    </cfRule>
    <cfRule type="expression" dxfId="999" priority="95" stopIfTrue="1">
      <formula>WEEKDAY($D$11)=7</formula>
    </cfRule>
  </conditionalFormatting>
  <conditionalFormatting sqref="D12">
    <cfRule type="expression" dxfId="998" priority="98" stopIfTrue="1">
      <formula>WEEKDAY($D$12)=7</formula>
    </cfRule>
    <cfRule type="expression" dxfId="997" priority="97" stopIfTrue="1">
      <formula>WEEKDAY($D$12)=1</formula>
    </cfRule>
    <cfRule type="expression" dxfId="996" priority="96" stopIfTrue="1">
      <formula>MATCH($D$12,$A$10:$A$29,0)</formula>
    </cfRule>
  </conditionalFormatting>
  <conditionalFormatting sqref="D13">
    <cfRule type="expression" dxfId="995" priority="99" stopIfTrue="1">
      <formula>MATCH($D$13,$A$10:$A$29,0)</formula>
    </cfRule>
    <cfRule type="expression" dxfId="994" priority="100" stopIfTrue="1">
      <formula>WEEKDAY($D$13)=1</formula>
    </cfRule>
    <cfRule type="expression" dxfId="993" priority="101" stopIfTrue="1">
      <formula>WEEKDAY($D$13)=7</formula>
    </cfRule>
  </conditionalFormatting>
  <conditionalFormatting sqref="D14">
    <cfRule type="expression" dxfId="992" priority="102" stopIfTrue="1">
      <formula>MATCH($D$14,$A$10:$A$29,0)</formula>
    </cfRule>
    <cfRule type="expression" dxfId="991" priority="103" stopIfTrue="1">
      <formula>WEEKDAY($D$14)=1</formula>
    </cfRule>
    <cfRule type="expression" dxfId="990" priority="104" stopIfTrue="1">
      <formula>WEEKDAY($D$14)=7</formula>
    </cfRule>
  </conditionalFormatting>
  <conditionalFormatting sqref="D15">
    <cfRule type="expression" dxfId="989" priority="105" stopIfTrue="1">
      <formula>MATCH($D$15,$A$10:$A$29,0)</formula>
    </cfRule>
    <cfRule type="expression" dxfId="988" priority="106" stopIfTrue="1">
      <formula>WEEKDAY($D$15)=1</formula>
    </cfRule>
    <cfRule type="expression" dxfId="987" priority="107" stopIfTrue="1">
      <formula>WEEKDAY($D$15)=7</formula>
    </cfRule>
  </conditionalFormatting>
  <conditionalFormatting sqref="D16">
    <cfRule type="expression" dxfId="986" priority="108" stopIfTrue="1">
      <formula>MATCH($D$16,$A$10:$A$29,0)</formula>
    </cfRule>
    <cfRule type="expression" dxfId="985" priority="109" stopIfTrue="1">
      <formula>WEEKDAY($D$16)=1</formula>
    </cfRule>
    <cfRule type="expression" dxfId="984" priority="110" stopIfTrue="1">
      <formula>WEEKDAY($D$16)=7</formula>
    </cfRule>
  </conditionalFormatting>
  <conditionalFormatting sqref="D17">
    <cfRule type="expression" dxfId="983" priority="111" stopIfTrue="1">
      <formula>MATCH($D$17,$A$10:$A$29,0)</formula>
    </cfRule>
    <cfRule type="expression" dxfId="982" priority="112" stopIfTrue="1">
      <formula>WEEKDAY($D$17)=1</formula>
    </cfRule>
    <cfRule type="expression" dxfId="981" priority="113" stopIfTrue="1">
      <formula>WEEKDAY($D$17)=7</formula>
    </cfRule>
  </conditionalFormatting>
  <conditionalFormatting sqref="D18">
    <cfRule type="expression" dxfId="980" priority="114" stopIfTrue="1">
      <formula>MATCH($D$18,$A$10:$A$29,0)</formula>
    </cfRule>
    <cfRule type="expression" dxfId="979" priority="115" stopIfTrue="1">
      <formula>WEEKDAY($D$18)=1</formula>
    </cfRule>
    <cfRule type="expression" dxfId="978" priority="116" stopIfTrue="1">
      <formula>WEEKDAY($D$18)=7</formula>
    </cfRule>
  </conditionalFormatting>
  <conditionalFormatting sqref="D19">
    <cfRule type="expression" dxfId="977" priority="117" stopIfTrue="1">
      <formula>MATCH($D$19,$A$10:$A$29,0)</formula>
    </cfRule>
    <cfRule type="expression" dxfId="976" priority="118" stopIfTrue="1">
      <formula>WEEKDAY($D$19)=1</formula>
    </cfRule>
    <cfRule type="expression" dxfId="975" priority="119" stopIfTrue="1">
      <formula>WEEKDAY($D$19)=7</formula>
    </cfRule>
  </conditionalFormatting>
  <conditionalFormatting sqref="D20">
    <cfRule type="expression" dxfId="974" priority="120" stopIfTrue="1">
      <formula>MATCH($D$20,$A$10:$A$29,0)</formula>
    </cfRule>
    <cfRule type="expression" dxfId="973" priority="121" stopIfTrue="1">
      <formula>WEEKDAY($D$20)=1</formula>
    </cfRule>
    <cfRule type="expression" dxfId="972" priority="122" stopIfTrue="1">
      <formula>WEEKDAY($D$20)=7</formula>
    </cfRule>
  </conditionalFormatting>
  <conditionalFormatting sqref="D21">
    <cfRule type="expression" dxfId="971" priority="123" stopIfTrue="1">
      <formula>MATCH($D$21,$A$10:$A$29,0)</formula>
    </cfRule>
    <cfRule type="expression" dxfId="970" priority="124" stopIfTrue="1">
      <formula>WEEKDAY($D$21)=1</formula>
    </cfRule>
    <cfRule type="expression" dxfId="969" priority="125" stopIfTrue="1">
      <formula>WEEKDAY($D$21)=7</formula>
    </cfRule>
  </conditionalFormatting>
  <conditionalFormatting sqref="D22">
    <cfRule type="expression" dxfId="968" priority="126" stopIfTrue="1">
      <formula>MATCH($D$22,$A$10:$A$29,0)</formula>
    </cfRule>
    <cfRule type="expression" dxfId="967" priority="127" stopIfTrue="1">
      <formula>WEEKDAY($D$22)=1</formula>
    </cfRule>
    <cfRule type="expression" dxfId="966" priority="128" stopIfTrue="1">
      <formula>WEEKDAY($D$22)=7</formula>
    </cfRule>
  </conditionalFormatting>
  <conditionalFormatting sqref="D23">
    <cfRule type="expression" dxfId="965" priority="129" stopIfTrue="1">
      <formula>MATCH($D$23,$A$10:$A$29,0)</formula>
    </cfRule>
    <cfRule type="expression" dxfId="964" priority="131" stopIfTrue="1">
      <formula>WEEKDAY($D$23)=7</formula>
    </cfRule>
    <cfRule type="expression" dxfId="963" priority="130" stopIfTrue="1">
      <formula>WEEKDAY($D$23)=1</formula>
    </cfRule>
  </conditionalFormatting>
  <conditionalFormatting sqref="D24">
    <cfRule type="expression" dxfId="962" priority="132" stopIfTrue="1">
      <formula>MATCH($D$24,$A$10:$A$29,0)</formula>
    </cfRule>
    <cfRule type="expression" dxfId="961" priority="133" stopIfTrue="1">
      <formula>WEEKDAY($D$24)=1</formula>
    </cfRule>
    <cfRule type="expression" dxfId="960" priority="134" stopIfTrue="1">
      <formula>WEEKDAY($D$24)=7</formula>
    </cfRule>
  </conditionalFormatting>
  <conditionalFormatting sqref="D25">
    <cfRule type="expression" dxfId="959" priority="135" stopIfTrue="1">
      <formula>MATCH($D$25,$A$10:$A$29,0)</formula>
    </cfRule>
    <cfRule type="expression" dxfId="958" priority="136" stopIfTrue="1">
      <formula>WEEKDAY($D$25)=1</formula>
    </cfRule>
    <cfRule type="expression" dxfId="957" priority="137" stopIfTrue="1">
      <formula>WEEKDAY($D$25)=7</formula>
    </cfRule>
  </conditionalFormatting>
  <conditionalFormatting sqref="D26">
    <cfRule type="expression" dxfId="956" priority="139" stopIfTrue="1">
      <formula>WEEKDAY($D$26)=1</formula>
    </cfRule>
    <cfRule type="expression" dxfId="955" priority="140" stopIfTrue="1">
      <formula>WEEKDAY($D$26)=7</formula>
    </cfRule>
    <cfRule type="expression" dxfId="954" priority="138" stopIfTrue="1">
      <formula>MATCH($D$26,$A$10:$A$29,0)</formula>
    </cfRule>
  </conditionalFormatting>
  <conditionalFormatting sqref="D27">
    <cfRule type="expression" dxfId="953" priority="141" stopIfTrue="1">
      <formula>MATCH($D$27,$A$10:$A$29,0)</formula>
    </cfRule>
    <cfRule type="expression" dxfId="952" priority="142" stopIfTrue="1">
      <formula>WEEKDAY($D$27)=1</formula>
    </cfRule>
    <cfRule type="expression" dxfId="951" priority="143" stopIfTrue="1">
      <formula>WEEKDAY($D$27)=7</formula>
    </cfRule>
  </conditionalFormatting>
  <conditionalFormatting sqref="D28">
    <cfRule type="expression" dxfId="950" priority="144" stopIfTrue="1">
      <formula>MATCH($D$28,$A$10:$A$29,0)</formula>
    </cfRule>
    <cfRule type="expression" dxfId="949" priority="146" stopIfTrue="1">
      <formula>WEEKDAY($D$28)=7</formula>
    </cfRule>
    <cfRule type="expression" dxfId="948" priority="145" stopIfTrue="1">
      <formula>WEEKDAY($D$28)=1</formula>
    </cfRule>
  </conditionalFormatting>
  <conditionalFormatting sqref="D29">
    <cfRule type="expression" dxfId="947" priority="149" stopIfTrue="1">
      <formula>WEEKDAY($D$29)=7</formula>
    </cfRule>
    <cfRule type="expression" dxfId="946" priority="148" stopIfTrue="1">
      <formula>WEEKDAY($D$29)=1</formula>
    </cfRule>
    <cfRule type="expression" dxfId="945" priority="147" stopIfTrue="1">
      <formula>MATCH($D$29,$A$10:$A$29,0)</formula>
    </cfRule>
  </conditionalFormatting>
  <conditionalFormatting sqref="D30">
    <cfRule type="expression" dxfId="944" priority="150" stopIfTrue="1">
      <formula>MATCH($D$30,$A$10:$A$29,0)</formula>
    </cfRule>
    <cfRule type="expression" dxfId="943" priority="151" stopIfTrue="1">
      <formula>WEEKDAY($D$30)=1</formula>
    </cfRule>
    <cfRule type="expression" dxfId="942" priority="152" stopIfTrue="1">
      <formula>WEEKDAY($D$30)=7</formula>
    </cfRule>
  </conditionalFormatting>
  <conditionalFormatting sqref="D31">
    <cfRule type="expression" dxfId="941" priority="153" stopIfTrue="1">
      <formula>MATCH($D$31,$A$10:$A$29,0)</formula>
    </cfRule>
    <cfRule type="expression" dxfId="940" priority="154" stopIfTrue="1">
      <formula>WEEKDAY($D$31)=1</formula>
    </cfRule>
    <cfRule type="expression" dxfId="939" priority="155" stopIfTrue="1">
      <formula>WEEKDAY($D$31)=7</formula>
    </cfRule>
  </conditionalFormatting>
  <conditionalFormatting sqref="D32">
    <cfRule type="expression" dxfId="938" priority="156" stopIfTrue="1">
      <formula>MATCH($D$32,$A$10:$A$29,0)</formula>
    </cfRule>
    <cfRule type="expression" dxfId="937" priority="157" stopIfTrue="1">
      <formula>WEEKDAY($D$32)=1</formula>
    </cfRule>
    <cfRule type="expression" dxfId="936" priority="158" stopIfTrue="1">
      <formula>WEEKDAY($D$32)=7</formula>
    </cfRule>
  </conditionalFormatting>
  <conditionalFormatting sqref="D33">
    <cfRule type="expression" dxfId="935" priority="159" stopIfTrue="1">
      <formula>MATCH($D$33,$A$10:$A$29,0)</formula>
    </cfRule>
    <cfRule type="expression" dxfId="934" priority="160" stopIfTrue="1">
      <formula>WEEKDAY($D$33)=1</formula>
    </cfRule>
    <cfRule type="expression" dxfId="933" priority="161" stopIfTrue="1">
      <formula>WEEKDAY($D$33)=7</formula>
    </cfRule>
  </conditionalFormatting>
  <conditionalFormatting sqref="D34">
    <cfRule type="expression" dxfId="932" priority="162" stopIfTrue="1">
      <formula>MATCH($D$34,$A$10:$A$29,0)</formula>
    </cfRule>
    <cfRule type="expression" dxfId="931" priority="163" stopIfTrue="1">
      <formula>WEEKDAY($D$34)=1</formula>
    </cfRule>
    <cfRule type="expression" dxfId="930" priority="164" stopIfTrue="1">
      <formula>WEEKDAY($D$34)=7</formula>
    </cfRule>
  </conditionalFormatting>
  <conditionalFormatting sqref="D35">
    <cfRule type="expression" dxfId="929" priority="165" stopIfTrue="1">
      <formula>MATCH($D$35,$A$10:$A$29,0)</formula>
    </cfRule>
    <cfRule type="expression" dxfId="928" priority="167" stopIfTrue="1">
      <formula>WEEKDAY($D$35)=7</formula>
    </cfRule>
    <cfRule type="expression" dxfId="927" priority="166" stopIfTrue="1">
      <formula>WEEKDAY($D$35)=1</formula>
    </cfRule>
  </conditionalFormatting>
  <conditionalFormatting sqref="D36">
    <cfRule type="expression" dxfId="926" priority="170" stopIfTrue="1">
      <formula>WEEKDAY($D$36)=7</formula>
    </cfRule>
    <cfRule type="expression" dxfId="925" priority="169" stopIfTrue="1">
      <formula>WEEKDAY($D$36)=1</formula>
    </cfRule>
    <cfRule type="expression" dxfId="924" priority="168" stopIfTrue="1">
      <formula>MATCH($D$36,$A$10:$A$29,0)</formula>
    </cfRule>
  </conditionalFormatting>
  <conditionalFormatting sqref="D37">
    <cfRule type="expression" dxfId="923" priority="172" stopIfTrue="1">
      <formula>WEEKDAY($D$37)=1</formula>
    </cfRule>
    <cfRule type="expression" dxfId="922" priority="173" stopIfTrue="1">
      <formula>WEEKDAY($D$37)=7</formula>
    </cfRule>
    <cfRule type="expression" dxfId="921" priority="171" stopIfTrue="1">
      <formula>MATCH($D$37,$A$10:$A$29,0)</formula>
    </cfRule>
  </conditionalFormatting>
  <conditionalFormatting sqref="D38">
    <cfRule type="expression" dxfId="920" priority="174" stopIfTrue="1">
      <formula>MATCH($D$38,$A$10:$A$29,0)</formula>
    </cfRule>
    <cfRule type="expression" dxfId="919" priority="175" stopIfTrue="1">
      <formula>WEEKDAY($D$38)=1</formula>
    </cfRule>
    <cfRule type="expression" dxfId="918" priority="176" stopIfTrue="1">
      <formula>WEEKDAY($D$38)=7</formula>
    </cfRule>
  </conditionalFormatting>
  <conditionalFormatting sqref="F10">
    <cfRule type="expression" dxfId="917" priority="177" stopIfTrue="1">
      <formula>MATCH($F$10,$A$10:$A$29,0)</formula>
    </cfRule>
    <cfRule type="expression" dxfId="916" priority="178" stopIfTrue="1">
      <formula>WEEKDAY($F$10)=1</formula>
    </cfRule>
    <cfRule type="expression" dxfId="915" priority="179" stopIfTrue="1">
      <formula>WEEKDAY($F$10)=7</formula>
    </cfRule>
  </conditionalFormatting>
  <conditionalFormatting sqref="F11">
    <cfRule type="expression" dxfId="914" priority="180" stopIfTrue="1">
      <formula>MATCH($F$11,$A$10:$A$29,0)</formula>
    </cfRule>
    <cfRule type="expression" dxfId="913" priority="182" stopIfTrue="1">
      <formula>WEEKDAY($F$11)=7</formula>
    </cfRule>
    <cfRule type="expression" dxfId="912" priority="181" stopIfTrue="1">
      <formula>WEEKDAY($F$11)=1</formula>
    </cfRule>
  </conditionalFormatting>
  <conditionalFormatting sqref="F12">
    <cfRule type="expression" dxfId="911" priority="183" stopIfTrue="1">
      <formula>MATCH($F$12,$A$10:$A$29,0)</formula>
    </cfRule>
    <cfRule type="expression" dxfId="910" priority="184" stopIfTrue="1">
      <formula>WEEKDAY($F$12)=1</formula>
    </cfRule>
    <cfRule type="expression" dxfId="909" priority="185" stopIfTrue="1">
      <formula>WEEKDAY($F$12)=7</formula>
    </cfRule>
  </conditionalFormatting>
  <conditionalFormatting sqref="F13">
    <cfRule type="expression" dxfId="908" priority="186" stopIfTrue="1">
      <formula>MATCH($F$13,$A$10:$A$29,0)</formula>
    </cfRule>
    <cfRule type="expression" dxfId="907" priority="187" stopIfTrue="1">
      <formula>WEEKDAY($F$13)=1</formula>
    </cfRule>
    <cfRule type="expression" dxfId="906" priority="188" stopIfTrue="1">
      <formula>WEEKDAY($F$13)=7</formula>
    </cfRule>
  </conditionalFormatting>
  <conditionalFormatting sqref="F14">
    <cfRule type="expression" dxfId="905" priority="189" stopIfTrue="1">
      <formula>MATCH($F$14,$A$10:$A$29,0)</formula>
    </cfRule>
    <cfRule type="expression" dxfId="904" priority="190" stopIfTrue="1">
      <formula>WEEKDAY($F$14)=1</formula>
    </cfRule>
    <cfRule type="expression" dxfId="903" priority="191" stopIfTrue="1">
      <formula>WEEKDAY($F$14)=7</formula>
    </cfRule>
  </conditionalFormatting>
  <conditionalFormatting sqref="F15">
    <cfRule type="expression" dxfId="902" priority="192" stopIfTrue="1">
      <formula>MATCH($F$15,$A$10:$A$29,0)</formula>
    </cfRule>
    <cfRule type="expression" dxfId="901" priority="193" stopIfTrue="1">
      <formula>WEEKDAY($F$15)=1</formula>
    </cfRule>
    <cfRule type="expression" dxfId="900" priority="194" stopIfTrue="1">
      <formula>WEEKDAY($F$15)=7</formula>
    </cfRule>
  </conditionalFormatting>
  <conditionalFormatting sqref="F16">
    <cfRule type="expression" dxfId="899" priority="195" stopIfTrue="1">
      <formula>MATCH($F$16,$A$10:$A$29,0)</formula>
    </cfRule>
    <cfRule type="expression" dxfId="898" priority="196" stopIfTrue="1">
      <formula>WEEKDAY($F$16)=1</formula>
    </cfRule>
    <cfRule type="expression" dxfId="897" priority="197" stopIfTrue="1">
      <formula>WEEKDAY($F$16)=7</formula>
    </cfRule>
  </conditionalFormatting>
  <conditionalFormatting sqref="F17">
    <cfRule type="expression" dxfId="896" priority="198" stopIfTrue="1">
      <formula>MATCH($F$17,$A$10:$A$29,0)</formula>
    </cfRule>
    <cfRule type="expression" dxfId="895" priority="199" stopIfTrue="1">
      <formula>WEEKDAY($F$17)=1</formula>
    </cfRule>
    <cfRule type="expression" dxfId="894" priority="200" stopIfTrue="1">
      <formula>WEEKDAY($F$17)=7</formula>
    </cfRule>
  </conditionalFormatting>
  <conditionalFormatting sqref="F18">
    <cfRule type="expression" dxfId="893" priority="201" stopIfTrue="1">
      <formula>MATCH($F$18,$A$10:$A$29,0)</formula>
    </cfRule>
    <cfRule type="expression" dxfId="892" priority="202" stopIfTrue="1">
      <formula>WEEKDAY($F$18)=1</formula>
    </cfRule>
    <cfRule type="expression" dxfId="891" priority="203" stopIfTrue="1">
      <formula>WEEKDAY($F$18)=7</formula>
    </cfRule>
  </conditionalFormatting>
  <conditionalFormatting sqref="F19">
    <cfRule type="expression" dxfId="890" priority="204" stopIfTrue="1">
      <formula>MATCH($F$19,$A$10:$A$29,0)</formula>
    </cfRule>
    <cfRule type="expression" dxfId="889" priority="205" stopIfTrue="1">
      <formula>WEEKDAY($F$19)=1</formula>
    </cfRule>
    <cfRule type="expression" dxfId="888" priority="206" stopIfTrue="1">
      <formula>WEEKDAY($F$19)=7</formula>
    </cfRule>
  </conditionalFormatting>
  <conditionalFormatting sqref="F20">
    <cfRule type="expression" dxfId="887" priority="207" stopIfTrue="1">
      <formula>MATCH($F$20,$A$10:$A$29,0)</formula>
    </cfRule>
    <cfRule type="expression" dxfId="886" priority="208" stopIfTrue="1">
      <formula>WEEKDAY($F$20)=1</formula>
    </cfRule>
    <cfRule type="expression" dxfId="885" priority="209" stopIfTrue="1">
      <formula>WEEKDAY($F$20)=7</formula>
    </cfRule>
  </conditionalFormatting>
  <conditionalFormatting sqref="F21">
    <cfRule type="expression" dxfId="884" priority="210" stopIfTrue="1">
      <formula>MATCH($F$21,$A$10:$A$29,0)</formula>
    </cfRule>
    <cfRule type="expression" dxfId="883" priority="211" stopIfTrue="1">
      <formula>WEEKDAY($F$21)=1</formula>
    </cfRule>
    <cfRule type="expression" dxfId="882" priority="212" stopIfTrue="1">
      <formula>WEEKDAY($F$21)=7</formula>
    </cfRule>
  </conditionalFormatting>
  <conditionalFormatting sqref="F22">
    <cfRule type="expression" dxfId="881" priority="213" stopIfTrue="1">
      <formula>MATCH($F$22,$A$10:$A$29,0)</formula>
    </cfRule>
    <cfRule type="expression" dxfId="880" priority="214" stopIfTrue="1">
      <formula>WEEKDAY($F$22)=1</formula>
    </cfRule>
    <cfRule type="expression" dxfId="879" priority="215" stopIfTrue="1">
      <formula>WEEKDAY($F$22)=7</formula>
    </cfRule>
  </conditionalFormatting>
  <conditionalFormatting sqref="F23">
    <cfRule type="expression" dxfId="878" priority="216" stopIfTrue="1">
      <formula>MATCH($F$23,$A$10:$A$29,0)</formula>
    </cfRule>
    <cfRule type="expression" dxfId="877" priority="217" stopIfTrue="1">
      <formula>WEEKDAY($F$23)=1</formula>
    </cfRule>
    <cfRule type="expression" dxfId="876" priority="218" stopIfTrue="1">
      <formula>WEEKDAY($F$23)=7</formula>
    </cfRule>
  </conditionalFormatting>
  <conditionalFormatting sqref="F24">
    <cfRule type="expression" dxfId="875" priority="221" stopIfTrue="1">
      <formula>WEEKDAY($F$24)=7</formula>
    </cfRule>
    <cfRule type="expression" dxfId="874" priority="220" stopIfTrue="1">
      <formula>WEEKDAY($F$24)=1</formula>
    </cfRule>
    <cfRule type="expression" dxfId="873" priority="219" stopIfTrue="1">
      <formula>MATCH($F$24,$A$10:$A$29,0)</formula>
    </cfRule>
  </conditionalFormatting>
  <conditionalFormatting sqref="F25">
    <cfRule type="expression" dxfId="872" priority="224" stopIfTrue="1">
      <formula>WEEKDAY($F$25)=7</formula>
    </cfRule>
    <cfRule type="expression" dxfId="871" priority="223" stopIfTrue="1">
      <formula>WEEKDAY($F$25)=1</formula>
    </cfRule>
    <cfRule type="expression" dxfId="870" priority="222" stopIfTrue="1">
      <formula>MATCH($F$25,$A$10:$A$29,0)</formula>
    </cfRule>
  </conditionalFormatting>
  <conditionalFormatting sqref="F26">
    <cfRule type="expression" dxfId="869" priority="226" stopIfTrue="1">
      <formula>WEEKDAY($F$26)=1</formula>
    </cfRule>
    <cfRule type="expression" dxfId="868" priority="227" stopIfTrue="1">
      <formula>WEEKDAY($F$26)=7</formula>
    </cfRule>
    <cfRule type="expression" dxfId="867" priority="225" stopIfTrue="1">
      <formula>MATCH($F$26,$A$10:$A$29,0)</formula>
    </cfRule>
  </conditionalFormatting>
  <conditionalFormatting sqref="F27">
    <cfRule type="expression" dxfId="866" priority="228" stopIfTrue="1">
      <formula>MATCH($F$27,$A$10:$A$29,0)</formula>
    </cfRule>
    <cfRule type="expression" dxfId="865" priority="229" stopIfTrue="1">
      <formula>WEEKDAY($F$27)=1</formula>
    </cfRule>
    <cfRule type="expression" dxfId="864" priority="230" stopIfTrue="1">
      <formula>WEEKDAY($F$27)=7</formula>
    </cfRule>
  </conditionalFormatting>
  <conditionalFormatting sqref="F28">
    <cfRule type="expression" dxfId="863" priority="231" stopIfTrue="1">
      <formula>MATCH($F$28,$A$10:$A$29,0)</formula>
    </cfRule>
    <cfRule type="expression" dxfId="862" priority="232" stopIfTrue="1">
      <formula>WEEKDAY($F$28)=1</formula>
    </cfRule>
    <cfRule type="expression" dxfId="861" priority="233" stopIfTrue="1">
      <formula>WEEKDAY($F$28)=7</formula>
    </cfRule>
  </conditionalFormatting>
  <conditionalFormatting sqref="F29">
    <cfRule type="expression" dxfId="860" priority="234" stopIfTrue="1">
      <formula>MATCH($F$29,$A$10:$A$29,0)</formula>
    </cfRule>
    <cfRule type="expression" dxfId="859" priority="235" stopIfTrue="1">
      <formula>WEEKDAY($F$29)=1</formula>
    </cfRule>
    <cfRule type="expression" dxfId="858" priority="236" stopIfTrue="1">
      <formula>WEEKDAY($F$29)=7</formula>
    </cfRule>
  </conditionalFormatting>
  <conditionalFormatting sqref="F30">
    <cfRule type="expression" dxfId="857" priority="239" stopIfTrue="1">
      <formula>WEEKDAY($F$30)=7</formula>
    </cfRule>
    <cfRule type="expression" dxfId="856" priority="238" stopIfTrue="1">
      <formula>WEEKDAY($F$30)=1</formula>
    </cfRule>
    <cfRule type="expression" dxfId="855" priority="237" stopIfTrue="1">
      <formula>MATCH($F$30,$A$10:$A$29,0)</formula>
    </cfRule>
  </conditionalFormatting>
  <conditionalFormatting sqref="F31">
    <cfRule type="expression" dxfId="854" priority="242" stopIfTrue="1">
      <formula>WEEKDAY($F$31)=7</formula>
    </cfRule>
    <cfRule type="expression" dxfId="853" priority="240" stopIfTrue="1">
      <formula>MATCH($F$31,$A$10:$A$29,0)</formula>
    </cfRule>
    <cfRule type="expression" dxfId="852" priority="241" stopIfTrue="1">
      <formula>WEEKDAY($F$31)=1</formula>
    </cfRule>
  </conditionalFormatting>
  <conditionalFormatting sqref="F32">
    <cfRule type="expression" dxfId="851" priority="243" stopIfTrue="1">
      <formula>MATCH($F$32,$A$10:$A$29,0)</formula>
    </cfRule>
    <cfRule type="expression" dxfId="850" priority="244" stopIfTrue="1">
      <formula>WEEKDAY($F$32)=1</formula>
    </cfRule>
    <cfRule type="expression" dxfId="849" priority="245" stopIfTrue="1">
      <formula>WEEKDAY($F$32)=7</formula>
    </cfRule>
  </conditionalFormatting>
  <conditionalFormatting sqref="F33">
    <cfRule type="expression" dxfId="848" priority="247" stopIfTrue="1">
      <formula>WEEKDAY($F$33)=1</formula>
    </cfRule>
    <cfRule type="expression" dxfId="847" priority="248" stopIfTrue="1">
      <formula>WEEKDAY($F$33)=7</formula>
    </cfRule>
    <cfRule type="expression" dxfId="846" priority="246" stopIfTrue="1">
      <formula>MATCH($F$33,$A$10:$A$29,0)</formula>
    </cfRule>
  </conditionalFormatting>
  <conditionalFormatting sqref="F34">
    <cfRule type="expression" dxfId="845" priority="250" stopIfTrue="1">
      <formula>WEEKDAY($F$34)=1</formula>
    </cfRule>
    <cfRule type="expression" dxfId="844" priority="251" stopIfTrue="1">
      <formula>WEEKDAY($F$34)=7</formula>
    </cfRule>
    <cfRule type="expression" dxfId="843" priority="249" stopIfTrue="1">
      <formula>MATCH($F$34,$A$10:$A$29,0)</formula>
    </cfRule>
  </conditionalFormatting>
  <conditionalFormatting sqref="F35">
    <cfRule type="expression" dxfId="842" priority="252" stopIfTrue="1">
      <formula>MATCH($F$35,$A$10:$A$29,0)</formula>
    </cfRule>
    <cfRule type="expression" dxfId="841" priority="253" stopIfTrue="1">
      <formula>WEEKDAY($F$35)=1</formula>
    </cfRule>
    <cfRule type="expression" dxfId="840" priority="254" stopIfTrue="1">
      <formula>WEEKDAY($F$35)=7</formula>
    </cfRule>
  </conditionalFormatting>
  <conditionalFormatting sqref="F36">
    <cfRule type="expression" dxfId="839" priority="255" stopIfTrue="1">
      <formula>MATCH($F$36,$A$10:$A$29,0)</formula>
    </cfRule>
    <cfRule type="expression" dxfId="838" priority="256" stopIfTrue="1">
      <formula>WEEKDAY($F$36)=1</formula>
    </cfRule>
    <cfRule type="expression" dxfId="837" priority="257" stopIfTrue="1">
      <formula>WEEKDAY($F$36)=7</formula>
    </cfRule>
  </conditionalFormatting>
  <conditionalFormatting sqref="F37">
    <cfRule type="expression" dxfId="836" priority="258" stopIfTrue="1">
      <formula>MATCH($F$37,$A$10:$A$29,0)</formula>
    </cfRule>
    <cfRule type="expression" dxfId="835" priority="259" stopIfTrue="1">
      <formula>WEEKDAY($F$37)=1</formula>
    </cfRule>
    <cfRule type="expression" dxfId="834" priority="260" stopIfTrue="1">
      <formula>WEEKDAY($F$37)=7</formula>
    </cfRule>
  </conditionalFormatting>
  <conditionalFormatting sqref="F38">
    <cfRule type="expression" dxfId="833" priority="261" stopIfTrue="1">
      <formula>MATCH($F$38,$A$10:$A$29,0)</formula>
    </cfRule>
    <cfRule type="expression" dxfId="832" priority="262" stopIfTrue="1">
      <formula>WEEKDAY($F$38)=1</formula>
    </cfRule>
    <cfRule type="expression" dxfId="831" priority="263" stopIfTrue="1">
      <formula>WEEKDAY($F$38)=7</formula>
    </cfRule>
  </conditionalFormatting>
  <conditionalFormatting sqref="F39">
    <cfRule type="expression" dxfId="830" priority="264" stopIfTrue="1">
      <formula>MATCH($F$39,$A$10:$A$29,0)</formula>
    </cfRule>
    <cfRule type="expression" dxfId="829" priority="266" stopIfTrue="1">
      <formula>WEEKDAY($F$39)=7</formula>
    </cfRule>
    <cfRule type="expression" dxfId="828" priority="265" stopIfTrue="1">
      <formula>WEEKDAY($F$39)=1</formula>
    </cfRule>
  </conditionalFormatting>
  <conditionalFormatting sqref="F40">
    <cfRule type="expression" dxfId="827" priority="268" stopIfTrue="1">
      <formula>WEEKDAY($F$40)=1</formula>
    </cfRule>
    <cfRule type="expression" dxfId="826" priority="269" stopIfTrue="1">
      <formula>WEEKDAY($F$40)=7</formula>
    </cfRule>
    <cfRule type="expression" dxfId="825" priority="267" stopIfTrue="1">
      <formula>MATCH($F$40,$A$10:$A$29,0)</formula>
    </cfRule>
  </conditionalFormatting>
  <conditionalFormatting sqref="H10">
    <cfRule type="expression" dxfId="824" priority="270" stopIfTrue="1">
      <formula>MATCH($H$10,$A$10:$A$29,0)</formula>
    </cfRule>
    <cfRule type="expression" dxfId="823" priority="271" stopIfTrue="1">
      <formula>WEEKDAY($H$10)=1</formula>
    </cfRule>
    <cfRule type="expression" dxfId="822" priority="272" stopIfTrue="1">
      <formula>WEEKDAY($H$10)=7</formula>
    </cfRule>
  </conditionalFormatting>
  <conditionalFormatting sqref="H11">
    <cfRule type="expression" dxfId="821" priority="273" stopIfTrue="1">
      <formula>MATCH($H$11,$A$10:$A$29,0)</formula>
    </cfRule>
    <cfRule type="expression" dxfId="820" priority="275" stopIfTrue="1">
      <formula>WEEKDAY($H$11)=7</formula>
    </cfRule>
    <cfRule type="expression" dxfId="819" priority="274" stopIfTrue="1">
      <formula>WEEKDAY($H$11)=1</formula>
    </cfRule>
  </conditionalFormatting>
  <conditionalFormatting sqref="H12">
    <cfRule type="expression" dxfId="818" priority="276" stopIfTrue="1">
      <formula>MATCH($H$12,$A$10:$A$29,0)</formula>
    </cfRule>
    <cfRule type="expression" dxfId="817" priority="277" stopIfTrue="1">
      <formula>WEEKDAY($H$12)=1</formula>
    </cfRule>
    <cfRule type="expression" dxfId="816" priority="278" stopIfTrue="1">
      <formula>WEEKDAY($H$12)=7</formula>
    </cfRule>
  </conditionalFormatting>
  <conditionalFormatting sqref="H13">
    <cfRule type="expression" dxfId="815" priority="281" stopIfTrue="1">
      <formula>WEEKDAY($H$13)=7</formula>
    </cfRule>
    <cfRule type="expression" dxfId="814" priority="280" stopIfTrue="1">
      <formula>WEEKDAY($H$13)=1</formula>
    </cfRule>
    <cfRule type="expression" dxfId="813" priority="279" stopIfTrue="1">
      <formula>MATCH($H$13,$A$10:$A$29,0)</formula>
    </cfRule>
  </conditionalFormatting>
  <conditionalFormatting sqref="H14">
    <cfRule type="expression" dxfId="812" priority="284" stopIfTrue="1">
      <formula>WEEKDAY($H$14)=7</formula>
    </cfRule>
    <cfRule type="expression" dxfId="811" priority="283" stopIfTrue="1">
      <formula>WEEKDAY($H$14)=1</formula>
    </cfRule>
    <cfRule type="expression" dxfId="810" priority="282" stopIfTrue="1">
      <formula>MATCH($H$14,$A$10:$A$29,0)</formula>
    </cfRule>
  </conditionalFormatting>
  <conditionalFormatting sqref="H15">
    <cfRule type="expression" dxfId="809" priority="285" stopIfTrue="1">
      <formula>MATCH($H$15,$A$10:$A$29,0)</formula>
    </cfRule>
    <cfRule type="expression" dxfId="808" priority="286" stopIfTrue="1">
      <formula>WEEKDAY($H$15)=1</formula>
    </cfRule>
    <cfRule type="expression" dxfId="807" priority="287" stopIfTrue="1">
      <formula>WEEKDAY($H$15)=7</formula>
    </cfRule>
  </conditionalFormatting>
  <conditionalFormatting sqref="H16">
    <cfRule type="expression" dxfId="806" priority="288" stopIfTrue="1">
      <formula>MATCH($H$16,$A$10:$A$29,0)</formula>
    </cfRule>
    <cfRule type="expression" dxfId="805" priority="289" stopIfTrue="1">
      <formula>WEEKDAY($H$16)=1</formula>
    </cfRule>
    <cfRule type="expression" dxfId="804" priority="290" stopIfTrue="1">
      <formula>WEEKDAY($H$16)=7</formula>
    </cfRule>
  </conditionalFormatting>
  <conditionalFormatting sqref="H17">
    <cfRule type="expression" dxfId="803" priority="291" stopIfTrue="1">
      <formula>MATCH($H$17,$A$10:$A$29,0)</formula>
    </cfRule>
    <cfRule type="expression" dxfId="802" priority="292" stopIfTrue="1">
      <formula>WEEKDAY($H$17)=1</formula>
    </cfRule>
    <cfRule type="expression" dxfId="801" priority="293" stopIfTrue="1">
      <formula>WEEKDAY($H$17)=7</formula>
    </cfRule>
  </conditionalFormatting>
  <conditionalFormatting sqref="H18">
    <cfRule type="expression" dxfId="800" priority="294" stopIfTrue="1">
      <formula>MATCH($H$18,$A$10:$A$29,0)</formula>
    </cfRule>
    <cfRule type="expression" dxfId="799" priority="295" stopIfTrue="1">
      <formula>WEEKDAY($H$18)=1</formula>
    </cfRule>
    <cfRule type="expression" dxfId="798" priority="296" stopIfTrue="1">
      <formula>WEEKDAY($H$18)=7</formula>
    </cfRule>
  </conditionalFormatting>
  <conditionalFormatting sqref="H19">
    <cfRule type="expression" dxfId="797" priority="297" stopIfTrue="1">
      <formula>MATCH($H$19,$A$10:$A$29,0)</formula>
    </cfRule>
    <cfRule type="expression" dxfId="796" priority="298" stopIfTrue="1">
      <formula>WEEKDAY($H$19)=1</formula>
    </cfRule>
    <cfRule type="expression" dxfId="795" priority="299" stopIfTrue="1">
      <formula>WEEKDAY($H$19)=7</formula>
    </cfRule>
  </conditionalFormatting>
  <conditionalFormatting sqref="H20">
    <cfRule type="expression" dxfId="794" priority="300" stopIfTrue="1">
      <formula>MATCH($H$20,$A$10:$A$29,0)</formula>
    </cfRule>
    <cfRule type="expression" dxfId="793" priority="302" stopIfTrue="1">
      <formula>WEEKDAY($H$20)=7</formula>
    </cfRule>
    <cfRule type="expression" dxfId="792" priority="301" stopIfTrue="1">
      <formula>WEEKDAY($H$20)=1</formula>
    </cfRule>
  </conditionalFormatting>
  <conditionalFormatting sqref="H21">
    <cfRule type="expression" dxfId="791" priority="305" stopIfTrue="1">
      <formula>WEEKDAY($H$21)=7</formula>
    </cfRule>
    <cfRule type="expression" dxfId="790" priority="304" stopIfTrue="1">
      <formula>WEEKDAY($H$21)=1</formula>
    </cfRule>
    <cfRule type="expression" dxfId="789" priority="303" stopIfTrue="1">
      <formula>MATCH($H$21,$A$10:$A$29,0)</formula>
    </cfRule>
  </conditionalFormatting>
  <conditionalFormatting sqref="H22">
    <cfRule type="expression" dxfId="788" priority="307" stopIfTrue="1">
      <formula>WEEKDAY($H$22)=1</formula>
    </cfRule>
    <cfRule type="expression" dxfId="787" priority="308" stopIfTrue="1">
      <formula>WEEKDAY($H$22)=7</formula>
    </cfRule>
    <cfRule type="expression" dxfId="786" priority="306" stopIfTrue="1">
      <formula>MATCH($H$22,$A$10:$A$29,0)</formula>
    </cfRule>
  </conditionalFormatting>
  <conditionalFormatting sqref="H23">
    <cfRule type="expression" dxfId="785" priority="309" stopIfTrue="1">
      <formula>MATCH($H$23,$A$10:$A$29,0)</formula>
    </cfRule>
    <cfRule type="expression" dxfId="784" priority="310" stopIfTrue="1">
      <formula>WEEKDAY($H$23)=1</formula>
    </cfRule>
    <cfRule type="expression" dxfId="783" priority="311" stopIfTrue="1">
      <formula>WEEKDAY($H$23)=7</formula>
    </cfRule>
  </conditionalFormatting>
  <conditionalFormatting sqref="H24">
    <cfRule type="expression" dxfId="782" priority="312" stopIfTrue="1">
      <formula>MATCH($H$24,$A$10:$A$29,0)</formula>
    </cfRule>
    <cfRule type="expression" dxfId="781" priority="313" stopIfTrue="1">
      <formula>WEEKDAY($H$24)=1</formula>
    </cfRule>
    <cfRule type="expression" dxfId="780" priority="314" stopIfTrue="1">
      <formula>WEEKDAY($H$24)=7</formula>
    </cfRule>
  </conditionalFormatting>
  <conditionalFormatting sqref="H25">
    <cfRule type="expression" dxfId="779" priority="315" stopIfTrue="1">
      <formula>MATCH($H$25,$A$10:$A$29,0)</formula>
    </cfRule>
    <cfRule type="expression" dxfId="778" priority="317" stopIfTrue="1">
      <formula>WEEKDAY($H$25)=7</formula>
    </cfRule>
    <cfRule type="expression" dxfId="777" priority="316" stopIfTrue="1">
      <formula>WEEKDAY($H$25)=1</formula>
    </cfRule>
  </conditionalFormatting>
  <conditionalFormatting sqref="H26">
    <cfRule type="expression" dxfId="776" priority="318" stopIfTrue="1">
      <formula>MATCH($H$26,$A$10:$A$29,0)</formula>
    </cfRule>
    <cfRule type="expression" dxfId="775" priority="319" stopIfTrue="1">
      <formula>WEEKDAY($H$26)=1</formula>
    </cfRule>
    <cfRule type="expression" dxfId="774" priority="320" stopIfTrue="1">
      <formula>WEEKDAY($H$26)=7</formula>
    </cfRule>
  </conditionalFormatting>
  <conditionalFormatting sqref="H27">
    <cfRule type="expression" dxfId="773" priority="321" stopIfTrue="1">
      <formula>MATCH($H$27,$A$10:$A$29,0)</formula>
    </cfRule>
    <cfRule type="expression" dxfId="772" priority="322" stopIfTrue="1">
      <formula>WEEKDAY($H$27)=1</formula>
    </cfRule>
    <cfRule type="expression" dxfId="771" priority="323" stopIfTrue="1">
      <formula>WEEKDAY($H$27)=7</formula>
    </cfRule>
  </conditionalFormatting>
  <conditionalFormatting sqref="H28">
    <cfRule type="expression" dxfId="770" priority="324" stopIfTrue="1">
      <formula>MATCH($H$28,$A$10:$A$29,0)</formula>
    </cfRule>
    <cfRule type="expression" dxfId="769" priority="325" stopIfTrue="1">
      <formula>WEEKDAY($H$28)=1</formula>
    </cfRule>
    <cfRule type="expression" dxfId="768" priority="326" stopIfTrue="1">
      <formula>WEEKDAY($H$28)=7</formula>
    </cfRule>
  </conditionalFormatting>
  <conditionalFormatting sqref="H29">
    <cfRule type="expression" dxfId="767" priority="327" stopIfTrue="1">
      <formula>MATCH($H$29,$A$10:$A$29,0)</formula>
    </cfRule>
    <cfRule type="expression" dxfId="766" priority="328" stopIfTrue="1">
      <formula>WEEKDAY($H$29)=1</formula>
    </cfRule>
    <cfRule type="expression" dxfId="765" priority="329" stopIfTrue="1">
      <formula>WEEKDAY($H$29)=7</formula>
    </cfRule>
  </conditionalFormatting>
  <conditionalFormatting sqref="H30">
    <cfRule type="expression" dxfId="764" priority="330" stopIfTrue="1">
      <formula>MATCH($H$30,$A$10:$A$29,0)</formula>
    </cfRule>
    <cfRule type="expression" dxfId="763" priority="331" stopIfTrue="1">
      <formula>WEEKDAY($H$30)=1</formula>
    </cfRule>
    <cfRule type="expression" dxfId="762" priority="332" stopIfTrue="1">
      <formula>WEEKDAY($H$30)=7</formula>
    </cfRule>
  </conditionalFormatting>
  <conditionalFormatting sqref="H31">
    <cfRule type="expression" dxfId="761" priority="333" stopIfTrue="1">
      <formula>MATCH($H$31,$A$10:$A$29,0)</formula>
    </cfRule>
    <cfRule type="expression" dxfId="760" priority="334" stopIfTrue="1">
      <formula>WEEKDAY($H$31)=1</formula>
    </cfRule>
    <cfRule type="expression" dxfId="759" priority="335" stopIfTrue="1">
      <formula>WEEKDAY($H$31)=7</formula>
    </cfRule>
  </conditionalFormatting>
  <conditionalFormatting sqref="H32">
    <cfRule type="expression" dxfId="758" priority="336" stopIfTrue="1">
      <formula>MATCH($H$32,$A$10:$A$29,0)</formula>
    </cfRule>
    <cfRule type="expression" dxfId="757" priority="337" stopIfTrue="1">
      <formula>WEEKDAY($H$32)=1</formula>
    </cfRule>
    <cfRule type="expression" dxfId="756" priority="338" stopIfTrue="1">
      <formula>WEEKDAY($H$32)=7</formula>
    </cfRule>
  </conditionalFormatting>
  <conditionalFormatting sqref="H33">
    <cfRule type="expression" dxfId="755" priority="339" stopIfTrue="1">
      <formula>MATCH($H$33,$A$10:$A$29,0)</formula>
    </cfRule>
    <cfRule type="expression" dxfId="754" priority="340" stopIfTrue="1">
      <formula>WEEKDAY($H$33)=1</formula>
    </cfRule>
    <cfRule type="expression" dxfId="753" priority="341" stopIfTrue="1">
      <formula>WEEKDAY($H$33)=7</formula>
    </cfRule>
  </conditionalFormatting>
  <conditionalFormatting sqref="H34">
    <cfRule type="expression" dxfId="752" priority="342" stopIfTrue="1">
      <formula>MATCH($H$34,$A$10:$A$29,0)</formula>
    </cfRule>
    <cfRule type="expression" dxfId="751" priority="343" stopIfTrue="1">
      <formula>WEEKDAY($H$34)=1</formula>
    </cfRule>
    <cfRule type="expression" dxfId="750" priority="344" stopIfTrue="1">
      <formula>WEEKDAY($H$34)=7</formula>
    </cfRule>
  </conditionalFormatting>
  <conditionalFormatting sqref="H35">
    <cfRule type="expression" dxfId="749" priority="345" stopIfTrue="1">
      <formula>MATCH($H$35,$A$10:$A$29,0)</formula>
    </cfRule>
    <cfRule type="expression" dxfId="748" priority="346" stopIfTrue="1">
      <formula>WEEKDAY($H$35)=1</formula>
    </cfRule>
    <cfRule type="expression" dxfId="747" priority="347" stopIfTrue="1">
      <formula>WEEKDAY($H$35)=7</formula>
    </cfRule>
  </conditionalFormatting>
  <conditionalFormatting sqref="H36">
    <cfRule type="expression" dxfId="746" priority="348" stopIfTrue="1">
      <formula>MATCH($H$36,$A$10:$A$29,0)</formula>
    </cfRule>
    <cfRule type="expression" dxfId="745" priority="349" stopIfTrue="1">
      <formula>WEEKDAY($H$36)=1</formula>
    </cfRule>
    <cfRule type="expression" dxfId="744" priority="350" stopIfTrue="1">
      <formula>WEEKDAY($H$36)=7</formula>
    </cfRule>
  </conditionalFormatting>
  <conditionalFormatting sqref="H37">
    <cfRule type="expression" dxfId="743" priority="351" stopIfTrue="1">
      <formula>MATCH($H$37,$A$10:$A$29,0)</formula>
    </cfRule>
    <cfRule type="expression" dxfId="742" priority="352" stopIfTrue="1">
      <formula>WEEKDAY($H$37)=1</formula>
    </cfRule>
    <cfRule type="expression" dxfId="741" priority="353" stopIfTrue="1">
      <formula>WEEKDAY($H$37)=7</formula>
    </cfRule>
  </conditionalFormatting>
  <conditionalFormatting sqref="H38">
    <cfRule type="expression" dxfId="740" priority="354" stopIfTrue="1">
      <formula>MATCH($H$38,$A$10:$A$29,0)</formula>
    </cfRule>
    <cfRule type="expression" dxfId="739" priority="355" stopIfTrue="1">
      <formula>WEEKDAY($H$38)=1</formula>
    </cfRule>
    <cfRule type="expression" dxfId="738" priority="356" stopIfTrue="1">
      <formula>WEEKDAY($H$38)=7</formula>
    </cfRule>
  </conditionalFormatting>
  <conditionalFormatting sqref="H39">
    <cfRule type="expression" dxfId="737" priority="358" stopIfTrue="1">
      <formula>WEEKDAY($H$39)=1</formula>
    </cfRule>
    <cfRule type="expression" dxfId="736" priority="357" stopIfTrue="1">
      <formula>MATCH($H$39,$A$10:$A$29,0)</formula>
    </cfRule>
    <cfRule type="expression" dxfId="735" priority="359" stopIfTrue="1">
      <formula>WEEKDAY($H$39)=7</formula>
    </cfRule>
  </conditionalFormatting>
  <conditionalFormatting sqref="J10">
    <cfRule type="expression" dxfId="734" priority="362" stopIfTrue="1">
      <formula>WEEKDAY($J$10)=7</formula>
    </cfRule>
    <cfRule type="expression" dxfId="733" priority="361" stopIfTrue="1">
      <formula>WEEKDAY($J$10)=1</formula>
    </cfRule>
    <cfRule type="expression" dxfId="732" priority="360" stopIfTrue="1">
      <formula>MATCH($J$10,$A$10:$A$29,0)</formula>
    </cfRule>
  </conditionalFormatting>
  <conditionalFormatting sqref="J11">
    <cfRule type="expression" dxfId="731" priority="364" stopIfTrue="1">
      <formula>WEEKDAY($J$11)=1</formula>
    </cfRule>
    <cfRule type="expression" dxfId="730" priority="365" stopIfTrue="1">
      <formula>WEEKDAY($J$11)=7</formula>
    </cfRule>
    <cfRule type="expression" dxfId="729" priority="363" stopIfTrue="1">
      <formula>MATCH($J$11,$A$10:$A$29,0)</formula>
    </cfRule>
  </conditionalFormatting>
  <conditionalFormatting sqref="J12">
    <cfRule type="expression" dxfId="728" priority="366" stopIfTrue="1">
      <formula>MATCH($J$12,$A$10:$A$29,0)</formula>
    </cfRule>
    <cfRule type="expression" dxfId="727" priority="367" stopIfTrue="1">
      <formula>WEEKDAY($J$12)=1</formula>
    </cfRule>
    <cfRule type="expression" dxfId="726" priority="368" stopIfTrue="1">
      <formula>WEEKDAY($J$12)=7</formula>
    </cfRule>
  </conditionalFormatting>
  <conditionalFormatting sqref="J13">
    <cfRule type="expression" dxfId="725" priority="369" stopIfTrue="1">
      <formula>MATCH($J$13,$A$10:$A$29,0)</formula>
    </cfRule>
    <cfRule type="expression" dxfId="724" priority="370" stopIfTrue="1">
      <formula>WEEKDAY($J$13)=1</formula>
    </cfRule>
    <cfRule type="expression" dxfId="723" priority="371" stopIfTrue="1">
      <formula>WEEKDAY($J$13)=7</formula>
    </cfRule>
  </conditionalFormatting>
  <conditionalFormatting sqref="J14">
    <cfRule type="expression" dxfId="722" priority="372" stopIfTrue="1">
      <formula>MATCH($J$14,$A$10:$A$29,0)</formula>
    </cfRule>
    <cfRule type="expression" dxfId="721" priority="373" stopIfTrue="1">
      <formula>WEEKDAY($J$14)=1</formula>
    </cfRule>
    <cfRule type="expression" dxfId="720" priority="374" stopIfTrue="1">
      <formula>WEEKDAY($J$14)=7</formula>
    </cfRule>
  </conditionalFormatting>
  <conditionalFormatting sqref="J15">
    <cfRule type="expression" dxfId="719" priority="375" stopIfTrue="1">
      <formula>MATCH($J$15,$A$10:$A$29,0)</formula>
    </cfRule>
    <cfRule type="expression" dxfId="718" priority="377" stopIfTrue="1">
      <formula>WEEKDAY($J$15)=7</formula>
    </cfRule>
    <cfRule type="expression" dxfId="717" priority="376" stopIfTrue="1">
      <formula>WEEKDAY($J$15)=1</formula>
    </cfRule>
  </conditionalFormatting>
  <conditionalFormatting sqref="J16">
    <cfRule type="expression" dxfId="716" priority="380" stopIfTrue="1">
      <formula>WEEKDAY($J$16)=7</formula>
    </cfRule>
    <cfRule type="expression" dxfId="715" priority="379" stopIfTrue="1">
      <formula>WEEKDAY($J$16)=1</formula>
    </cfRule>
    <cfRule type="expression" dxfId="714" priority="378" stopIfTrue="1">
      <formula>MATCH($J$16,$A$10:$A$29,0)</formula>
    </cfRule>
  </conditionalFormatting>
  <conditionalFormatting sqref="J17">
    <cfRule type="expression" dxfId="713" priority="382" stopIfTrue="1">
      <formula>WEEKDAY($J$17)=1</formula>
    </cfRule>
    <cfRule type="expression" dxfId="712" priority="383" stopIfTrue="1">
      <formula>WEEKDAY($J$17)=7</formula>
    </cfRule>
    <cfRule type="expression" dxfId="711" priority="381" stopIfTrue="1">
      <formula>MATCH($J$17,$A$10:$A$29,0)</formula>
    </cfRule>
  </conditionalFormatting>
  <conditionalFormatting sqref="J18">
    <cfRule type="expression" dxfId="710" priority="384" stopIfTrue="1">
      <formula>MATCH($J$18,$A$10:$A$29,0)</formula>
    </cfRule>
    <cfRule type="expression" dxfId="709" priority="385" stopIfTrue="1">
      <formula>WEEKDAY($J$18)=1</formula>
    </cfRule>
    <cfRule type="expression" dxfId="708" priority="386" stopIfTrue="1">
      <formula>WEEKDAY($J$18)=7</formula>
    </cfRule>
  </conditionalFormatting>
  <conditionalFormatting sqref="J19">
    <cfRule type="expression" dxfId="707" priority="387" stopIfTrue="1">
      <formula>MATCH($J$19,$A$10:$A$29,0)</formula>
    </cfRule>
    <cfRule type="expression" dxfId="706" priority="388" stopIfTrue="1">
      <formula>WEEKDAY($J$19)=1</formula>
    </cfRule>
    <cfRule type="expression" dxfId="705" priority="389" stopIfTrue="1">
      <formula>WEEKDAY($J$19)=7</formula>
    </cfRule>
  </conditionalFormatting>
  <conditionalFormatting sqref="J20">
    <cfRule type="expression" dxfId="704" priority="390" stopIfTrue="1">
      <formula>MATCH($J$20,$A$10:$A$29,0)</formula>
    </cfRule>
    <cfRule type="expression" dxfId="703" priority="392" stopIfTrue="1">
      <formula>WEEKDAY($J$20)=7</formula>
    </cfRule>
    <cfRule type="expression" dxfId="702" priority="391" stopIfTrue="1">
      <formula>WEEKDAY($J$20)=1</formula>
    </cfRule>
  </conditionalFormatting>
  <conditionalFormatting sqref="J21">
    <cfRule type="expression" dxfId="701" priority="393" stopIfTrue="1">
      <formula>MATCH($J$21,$A$10:$A$29,0)</formula>
    </cfRule>
    <cfRule type="expression" dxfId="700" priority="394" stopIfTrue="1">
      <formula>WEEKDAY($J$21)=1</formula>
    </cfRule>
    <cfRule type="expression" dxfId="699" priority="395" stopIfTrue="1">
      <formula>WEEKDAY($J$21)=7</formula>
    </cfRule>
  </conditionalFormatting>
  <conditionalFormatting sqref="J22">
    <cfRule type="expression" dxfId="698" priority="396" stopIfTrue="1">
      <formula>MATCH($J$22,$A$10:$A$29,0)</formula>
    </cfRule>
    <cfRule type="expression" dxfId="697" priority="397" stopIfTrue="1">
      <formula>WEEKDAY($J$22)=1</formula>
    </cfRule>
    <cfRule type="expression" dxfId="696" priority="398" stopIfTrue="1">
      <formula>WEEKDAY($J$22)=7</formula>
    </cfRule>
  </conditionalFormatting>
  <conditionalFormatting sqref="J23">
    <cfRule type="expression" dxfId="695" priority="399" stopIfTrue="1">
      <formula>MATCH($J$23,$A$10:$A$29,0)</formula>
    </cfRule>
    <cfRule type="expression" dxfId="694" priority="400" stopIfTrue="1">
      <formula>WEEKDAY($J$23)=1</formula>
    </cfRule>
    <cfRule type="expression" dxfId="693" priority="401" stopIfTrue="1">
      <formula>WEEKDAY($J$23)=7</formula>
    </cfRule>
  </conditionalFormatting>
  <conditionalFormatting sqref="J24">
    <cfRule type="expression" dxfId="692" priority="402" stopIfTrue="1">
      <formula>MATCH($J$24,$A$10:$A$29,0)</formula>
    </cfRule>
    <cfRule type="expression" dxfId="691" priority="403" stopIfTrue="1">
      <formula>WEEKDAY($J$24)=1</formula>
    </cfRule>
    <cfRule type="expression" dxfId="690" priority="404" stopIfTrue="1">
      <formula>WEEKDAY($J$24)=7</formula>
    </cfRule>
  </conditionalFormatting>
  <conditionalFormatting sqref="J25">
    <cfRule type="expression" dxfId="689" priority="405" stopIfTrue="1">
      <formula>MATCH($J$25,$A$10:$A$29,0)</formula>
    </cfRule>
    <cfRule type="expression" dxfId="688" priority="406" stopIfTrue="1">
      <formula>WEEKDAY($J$25)=1</formula>
    </cfRule>
    <cfRule type="expression" dxfId="687" priority="407" stopIfTrue="1">
      <formula>WEEKDAY($J$25)=7</formula>
    </cfRule>
  </conditionalFormatting>
  <conditionalFormatting sqref="J26">
    <cfRule type="expression" dxfId="686" priority="409" stopIfTrue="1">
      <formula>WEEKDAY($J$26)=1</formula>
    </cfRule>
    <cfRule type="expression" dxfId="685" priority="410" stopIfTrue="1">
      <formula>WEEKDAY($J$26)=7</formula>
    </cfRule>
    <cfRule type="expression" dxfId="684" priority="408" stopIfTrue="1">
      <formula>MATCH($J$26,$A$10:$A$29,0)</formula>
    </cfRule>
  </conditionalFormatting>
  <conditionalFormatting sqref="J27">
    <cfRule type="expression" dxfId="683" priority="412" stopIfTrue="1">
      <formula>WEEKDAY($J$27)=1</formula>
    </cfRule>
    <cfRule type="expression" dxfId="682" priority="413" stopIfTrue="1">
      <formula>WEEKDAY($J$27)=7</formula>
    </cfRule>
    <cfRule type="expression" dxfId="681" priority="411" stopIfTrue="1">
      <formula>MATCH($J$27,$A$10:$A$29,0)</formula>
    </cfRule>
  </conditionalFormatting>
  <conditionalFormatting sqref="J28">
    <cfRule type="expression" dxfId="680" priority="414" stopIfTrue="1">
      <formula>MATCH($J$28,$A$10:$A$29,0)</formula>
    </cfRule>
    <cfRule type="expression" dxfId="679" priority="415" stopIfTrue="1">
      <formula>WEEKDAY($J$28)=1</formula>
    </cfRule>
    <cfRule type="expression" dxfId="678" priority="416" stopIfTrue="1">
      <formula>WEEKDAY($J$28)=7</formula>
    </cfRule>
  </conditionalFormatting>
  <conditionalFormatting sqref="J29">
    <cfRule type="expression" dxfId="677" priority="417" stopIfTrue="1">
      <formula>MATCH($J$29,$A$10:$A$29,0)</formula>
    </cfRule>
    <cfRule type="expression" dxfId="676" priority="419" stopIfTrue="1">
      <formula>WEEKDAY($J$29)=7</formula>
    </cfRule>
    <cfRule type="expression" dxfId="675" priority="418" stopIfTrue="1">
      <formula>WEEKDAY($J$29)=1</formula>
    </cfRule>
  </conditionalFormatting>
  <conditionalFormatting sqref="J30">
    <cfRule type="expression" dxfId="674" priority="420" stopIfTrue="1">
      <formula>MATCH($J$30,$A$10:$A$29,0)</formula>
    </cfRule>
    <cfRule type="expression" dxfId="673" priority="421" stopIfTrue="1">
      <formula>WEEKDAY($J$30)=1</formula>
    </cfRule>
    <cfRule type="expression" dxfId="672" priority="422" stopIfTrue="1">
      <formula>WEEKDAY($J$30)=7</formula>
    </cfRule>
  </conditionalFormatting>
  <conditionalFormatting sqref="J31">
    <cfRule type="expression" dxfId="671" priority="424" stopIfTrue="1">
      <formula>WEEKDAY($J$31)=1</formula>
    </cfRule>
    <cfRule type="expression" dxfId="670" priority="423" stopIfTrue="1">
      <formula>MATCH($J$31,$A$10:$A$29,0)</formula>
    </cfRule>
    <cfRule type="expression" dxfId="669" priority="425" stopIfTrue="1">
      <formula>WEEKDAY($J$31)=7</formula>
    </cfRule>
  </conditionalFormatting>
  <conditionalFormatting sqref="J32">
    <cfRule type="expression" dxfId="668" priority="427" stopIfTrue="1">
      <formula>WEEKDAY($J$32)=1</formula>
    </cfRule>
    <cfRule type="expression" dxfId="667" priority="428" stopIfTrue="1">
      <formula>WEEKDAY($J$32)=7</formula>
    </cfRule>
    <cfRule type="expression" dxfId="666" priority="426" stopIfTrue="1">
      <formula>MATCH($J$32,$A$10:$A$29,0)</formula>
    </cfRule>
  </conditionalFormatting>
  <conditionalFormatting sqref="J33">
    <cfRule type="expression" dxfId="665" priority="430" stopIfTrue="1">
      <formula>WEEKDAY($J$33)=1</formula>
    </cfRule>
    <cfRule type="expression" dxfId="664" priority="431" stopIfTrue="1">
      <formula>WEEKDAY($J$33)=7</formula>
    </cfRule>
    <cfRule type="expression" dxfId="663" priority="429" stopIfTrue="1">
      <formula>MATCH($J$33,$A$10:$A$29,0)</formula>
    </cfRule>
  </conditionalFormatting>
  <conditionalFormatting sqref="J34">
    <cfRule type="expression" dxfId="662" priority="432" stopIfTrue="1">
      <formula>MATCH($J$34,$A$10:$A$29,0)</formula>
    </cfRule>
    <cfRule type="expression" dxfId="661" priority="433" stopIfTrue="1">
      <formula>WEEKDAY($J$34)=1</formula>
    </cfRule>
    <cfRule type="expression" dxfId="660" priority="434" stopIfTrue="1">
      <formula>WEEKDAY($J$34)=7</formula>
    </cfRule>
  </conditionalFormatting>
  <conditionalFormatting sqref="J35">
    <cfRule type="expression" dxfId="659" priority="435" stopIfTrue="1">
      <formula>MATCH($J$35,$A$10:$A$29,0)</formula>
    </cfRule>
    <cfRule type="expression" dxfId="658" priority="436" stopIfTrue="1">
      <formula>WEEKDAY($J$35)=1</formula>
    </cfRule>
    <cfRule type="expression" dxfId="657" priority="437" stopIfTrue="1">
      <formula>WEEKDAY($J$35)=7</formula>
    </cfRule>
  </conditionalFormatting>
  <conditionalFormatting sqref="J36">
    <cfRule type="expression" dxfId="656" priority="438" stopIfTrue="1">
      <formula>MATCH($J$36,$A$10:$A$29,0)</formula>
    </cfRule>
    <cfRule type="expression" dxfId="655" priority="439" stopIfTrue="1">
      <formula>WEEKDAY($J$36)=1</formula>
    </cfRule>
    <cfRule type="expression" dxfId="654" priority="440" stopIfTrue="1">
      <formula>WEEKDAY($J$36)=7</formula>
    </cfRule>
  </conditionalFormatting>
  <conditionalFormatting sqref="J37">
    <cfRule type="expression" dxfId="653" priority="441" stopIfTrue="1">
      <formula>MATCH($J$37,$A$10:$A$29,0)</formula>
    </cfRule>
    <cfRule type="expression" dxfId="652" priority="442" stopIfTrue="1">
      <formula>WEEKDAY($J$37)=1</formula>
    </cfRule>
    <cfRule type="expression" dxfId="651" priority="443" stopIfTrue="1">
      <formula>WEEKDAY($J$37)=7</formula>
    </cfRule>
  </conditionalFormatting>
  <conditionalFormatting sqref="J38">
    <cfRule type="expression" dxfId="650" priority="446" stopIfTrue="1">
      <formula>WEEKDAY($J$38)=7</formula>
    </cfRule>
    <cfRule type="expression" dxfId="649" priority="445" stopIfTrue="1">
      <formula>WEEKDAY($J$38)=1</formula>
    </cfRule>
    <cfRule type="expression" dxfId="648" priority="444" stopIfTrue="1">
      <formula>MATCH($J$38,$A$10:$A$29,0)</formula>
    </cfRule>
  </conditionalFormatting>
  <conditionalFormatting sqref="J39">
    <cfRule type="expression" dxfId="647" priority="449" stopIfTrue="1">
      <formula>WEEKDAY($J$39)=7</formula>
    </cfRule>
    <cfRule type="expression" dxfId="646" priority="447" stopIfTrue="1">
      <formula>MATCH($J$39,$A$10:$A$29,0)</formula>
    </cfRule>
    <cfRule type="expression" dxfId="645" priority="448" stopIfTrue="1">
      <formula>WEEKDAY($J$39)=1</formula>
    </cfRule>
  </conditionalFormatting>
  <conditionalFormatting sqref="J40">
    <cfRule type="expression" dxfId="644" priority="450" stopIfTrue="1">
      <formula>MATCH($J$40,$A$10:$A$29,0)</formula>
    </cfRule>
    <cfRule type="expression" dxfId="643" priority="451" stopIfTrue="1">
      <formula>WEEKDAY($J$40)=1</formula>
    </cfRule>
    <cfRule type="expression" dxfId="642" priority="452" stopIfTrue="1">
      <formula>WEEKDAY($J$40)=7</formula>
    </cfRule>
  </conditionalFormatting>
  <conditionalFormatting sqref="L10">
    <cfRule type="expression" dxfId="641" priority="453" stopIfTrue="1">
      <formula>MATCH($L$10,$A$10:$A$29,0)</formula>
    </cfRule>
    <cfRule type="expression" dxfId="640" priority="454" stopIfTrue="1">
      <formula>WEEKDAY($L$10)=1</formula>
    </cfRule>
    <cfRule type="expression" dxfId="639" priority="455" stopIfTrue="1">
      <formula>WEEKDAY($L$10)=7</formula>
    </cfRule>
  </conditionalFormatting>
  <conditionalFormatting sqref="L11">
    <cfRule type="expression" dxfId="638" priority="456" stopIfTrue="1">
      <formula>MATCH($L$11,$A$10:$A$29,0)</formula>
    </cfRule>
    <cfRule type="expression" dxfId="637" priority="457" stopIfTrue="1">
      <formula>WEEKDAY($L$11)=1</formula>
    </cfRule>
    <cfRule type="expression" dxfId="636" priority="458" stopIfTrue="1">
      <formula>WEEKDAY($L$11)=7</formula>
    </cfRule>
  </conditionalFormatting>
  <conditionalFormatting sqref="L12">
    <cfRule type="expression" dxfId="635" priority="459" stopIfTrue="1">
      <formula>MATCH($L$12,$A$10:$A$29,0)</formula>
    </cfRule>
    <cfRule type="expression" dxfId="634" priority="460" stopIfTrue="1">
      <formula>WEEKDAY($L$12)=1</formula>
    </cfRule>
    <cfRule type="expression" dxfId="633" priority="461" stopIfTrue="1">
      <formula>WEEKDAY($L$12)=7</formula>
    </cfRule>
  </conditionalFormatting>
  <conditionalFormatting sqref="L13">
    <cfRule type="expression" dxfId="632" priority="462" stopIfTrue="1">
      <formula>MATCH($L$13,$A$10:$A$29,0)</formula>
    </cfRule>
    <cfRule type="expression" dxfId="631" priority="463" stopIfTrue="1">
      <formula>WEEKDAY($L$13)=1</formula>
    </cfRule>
    <cfRule type="expression" dxfId="630" priority="464" stopIfTrue="1">
      <formula>WEEKDAY($L$13)=7</formula>
    </cfRule>
  </conditionalFormatting>
  <conditionalFormatting sqref="L14">
    <cfRule type="expression" dxfId="629" priority="465" stopIfTrue="1">
      <formula>MATCH($L$14,$A$10:$A$29,0)</formula>
    </cfRule>
    <cfRule type="expression" dxfId="628" priority="466" stopIfTrue="1">
      <formula>WEEKDAY($L$14)=1</formula>
    </cfRule>
    <cfRule type="expression" dxfId="627" priority="467" stopIfTrue="1">
      <formula>WEEKDAY($L$14)=7</formula>
    </cfRule>
  </conditionalFormatting>
  <conditionalFormatting sqref="L15">
    <cfRule type="expression" dxfId="626" priority="468" stopIfTrue="1">
      <formula>MATCH($L$15,$A$10:$A$29,0)</formula>
    </cfRule>
    <cfRule type="expression" dxfId="625" priority="469" stopIfTrue="1">
      <formula>WEEKDAY($L$15)=1</formula>
    </cfRule>
    <cfRule type="expression" dxfId="624" priority="470" stopIfTrue="1">
      <formula>WEEKDAY($L$15)=7</formula>
    </cfRule>
  </conditionalFormatting>
  <conditionalFormatting sqref="L16">
    <cfRule type="expression" dxfId="623" priority="471" stopIfTrue="1">
      <formula>MATCH($L$16,$A$10:$A$29,0)</formula>
    </cfRule>
    <cfRule type="expression" dxfId="622" priority="472" stopIfTrue="1">
      <formula>WEEKDAY($L$16)=1</formula>
    </cfRule>
    <cfRule type="expression" dxfId="621" priority="473" stopIfTrue="1">
      <formula>WEEKDAY($L$16)=7</formula>
    </cfRule>
  </conditionalFormatting>
  <conditionalFormatting sqref="L17">
    <cfRule type="expression" dxfId="620" priority="474" stopIfTrue="1">
      <formula>MATCH($L$17,$A$10:$A$29,0)</formula>
    </cfRule>
    <cfRule type="expression" dxfId="619" priority="475" stopIfTrue="1">
      <formula>WEEKDAY($L$17)=1</formula>
    </cfRule>
    <cfRule type="expression" dxfId="618" priority="476" stopIfTrue="1">
      <formula>WEEKDAY($L$17)=7</formula>
    </cfRule>
  </conditionalFormatting>
  <conditionalFormatting sqref="L18">
    <cfRule type="expression" dxfId="617" priority="477" stopIfTrue="1">
      <formula>MATCH($L$18,$A$10:$A$29,0)</formula>
    </cfRule>
    <cfRule type="expression" dxfId="616" priority="478" stopIfTrue="1">
      <formula>WEEKDAY($L$18)=1</formula>
    </cfRule>
    <cfRule type="expression" dxfId="615" priority="479" stopIfTrue="1">
      <formula>WEEKDAY($L$18)=7</formula>
    </cfRule>
  </conditionalFormatting>
  <conditionalFormatting sqref="L19">
    <cfRule type="expression" dxfId="614" priority="480" stopIfTrue="1">
      <formula>MATCH($L$19,$A$10:$A$29,0)</formula>
    </cfRule>
    <cfRule type="expression" dxfId="613" priority="482" stopIfTrue="1">
      <formula>WEEKDAY($L$19)=7</formula>
    </cfRule>
    <cfRule type="expression" dxfId="612" priority="481" stopIfTrue="1">
      <formula>WEEKDAY($L$19)=1</formula>
    </cfRule>
  </conditionalFormatting>
  <conditionalFormatting sqref="L20">
    <cfRule type="expression" dxfId="611" priority="483" stopIfTrue="1">
      <formula>MATCH($L$20,$A$10:$A$29,0)</formula>
    </cfRule>
    <cfRule type="expression" dxfId="610" priority="484" stopIfTrue="1">
      <formula>WEEKDAY($L$20)=1</formula>
    </cfRule>
    <cfRule type="expression" dxfId="609" priority="485" stopIfTrue="1">
      <formula>WEEKDAY($L$20)=7</formula>
    </cfRule>
  </conditionalFormatting>
  <conditionalFormatting sqref="L21">
    <cfRule type="expression" dxfId="608" priority="486" stopIfTrue="1">
      <formula>MATCH($L$21,$A$10:$A$29,0)</formula>
    </cfRule>
    <cfRule type="expression" dxfId="607" priority="487" stopIfTrue="1">
      <formula>WEEKDAY($L$21)=1</formula>
    </cfRule>
    <cfRule type="expression" dxfId="606" priority="488" stopIfTrue="1">
      <formula>WEEKDAY($L$21)=7</formula>
    </cfRule>
  </conditionalFormatting>
  <conditionalFormatting sqref="L22">
    <cfRule type="expression" dxfId="605" priority="490" stopIfTrue="1">
      <formula>WEEKDAY($L$22)=1</formula>
    </cfRule>
    <cfRule type="expression" dxfId="604" priority="491" stopIfTrue="1">
      <formula>WEEKDAY($L$22)=7</formula>
    </cfRule>
    <cfRule type="expression" dxfId="603" priority="489" stopIfTrue="1">
      <formula>MATCH($L$22,$A$10:$A$29,0)</formula>
    </cfRule>
  </conditionalFormatting>
  <conditionalFormatting sqref="L23">
    <cfRule type="expression" dxfId="602" priority="492" stopIfTrue="1">
      <formula>MATCH($L$23,$A$10:$A$29,0)</formula>
    </cfRule>
    <cfRule type="expression" dxfId="601" priority="493" stopIfTrue="1">
      <formula>WEEKDAY($L$23)=1</formula>
    </cfRule>
    <cfRule type="expression" dxfId="600" priority="494" stopIfTrue="1">
      <formula>WEEKDAY($L$23)=7</formula>
    </cfRule>
  </conditionalFormatting>
  <conditionalFormatting sqref="L24">
    <cfRule type="expression" dxfId="599" priority="497" stopIfTrue="1">
      <formula>WEEKDAY($L$24)=7</formula>
    </cfRule>
    <cfRule type="expression" dxfId="598" priority="496" stopIfTrue="1">
      <formula>WEEKDAY($L$24)=1</formula>
    </cfRule>
    <cfRule type="expression" dxfId="597" priority="495" stopIfTrue="1">
      <formula>MATCH($L$24,$A$10:$A$29,0)</formula>
    </cfRule>
  </conditionalFormatting>
  <conditionalFormatting sqref="L25">
    <cfRule type="expression" dxfId="596" priority="500" stopIfTrue="1">
      <formula>WEEKDAY($L$25)=7</formula>
    </cfRule>
    <cfRule type="expression" dxfId="595" priority="499" stopIfTrue="1">
      <formula>WEEKDAY($L$25)=1</formula>
    </cfRule>
    <cfRule type="expression" dxfId="594" priority="498" stopIfTrue="1">
      <formula>MATCH($L$25,$A$10:$A$29,0)</formula>
    </cfRule>
  </conditionalFormatting>
  <conditionalFormatting sqref="L26">
    <cfRule type="expression" dxfId="593" priority="502" stopIfTrue="1">
      <formula>WEEKDAY($L$26)=1</formula>
    </cfRule>
    <cfRule type="expression" dxfId="592" priority="503" stopIfTrue="1">
      <formula>WEEKDAY($L$26)=7</formula>
    </cfRule>
    <cfRule type="expression" dxfId="591" priority="501" stopIfTrue="1">
      <formula>MATCH($L$26,$A$10:$A$29,0)</formula>
    </cfRule>
  </conditionalFormatting>
  <conditionalFormatting sqref="L27">
    <cfRule type="expression" dxfId="590" priority="504" stopIfTrue="1">
      <formula>MATCH($L$27,$A$10:$A$29,0)</formula>
    </cfRule>
    <cfRule type="expression" dxfId="589" priority="505" stopIfTrue="1">
      <formula>WEEKDAY($L$27)=1</formula>
    </cfRule>
    <cfRule type="expression" dxfId="588" priority="506" stopIfTrue="1">
      <formula>WEEKDAY($L$27)=7</formula>
    </cfRule>
  </conditionalFormatting>
  <conditionalFormatting sqref="L28">
    <cfRule type="expression" dxfId="587" priority="507" stopIfTrue="1">
      <formula>MATCH($L$28,$A$10:$A$29,0)</formula>
    </cfRule>
    <cfRule type="expression" dxfId="586" priority="508" stopIfTrue="1">
      <formula>WEEKDAY($L$28)=1</formula>
    </cfRule>
    <cfRule type="expression" dxfId="585" priority="509" stopIfTrue="1">
      <formula>WEEKDAY($L$28)=7</formula>
    </cfRule>
  </conditionalFormatting>
  <conditionalFormatting sqref="L29">
    <cfRule type="expression" dxfId="584" priority="510" stopIfTrue="1">
      <formula>MATCH($L$29,$A$10:$A$29,0)</formula>
    </cfRule>
    <cfRule type="expression" dxfId="583" priority="511" stopIfTrue="1">
      <formula>WEEKDAY($L$29)=1</formula>
    </cfRule>
    <cfRule type="expression" dxfId="582" priority="512" stopIfTrue="1">
      <formula>WEEKDAY($L$29)=7</formula>
    </cfRule>
  </conditionalFormatting>
  <conditionalFormatting sqref="L30">
    <cfRule type="expression" dxfId="581" priority="515" stopIfTrue="1">
      <formula>WEEKDAY($L$30)=7</formula>
    </cfRule>
    <cfRule type="expression" dxfId="580" priority="514" stopIfTrue="1">
      <formula>WEEKDAY($L$30)=1</formula>
    </cfRule>
    <cfRule type="expression" dxfId="579" priority="513" stopIfTrue="1">
      <formula>MATCH($L$30,$A$10:$A$29,0)</formula>
    </cfRule>
  </conditionalFormatting>
  <conditionalFormatting sqref="L31">
    <cfRule type="expression" dxfId="578" priority="518" stopIfTrue="1">
      <formula>WEEKDAY($L$31)=7</formula>
    </cfRule>
    <cfRule type="expression" dxfId="577" priority="516" stopIfTrue="1">
      <formula>MATCH($L$31,$A$10:$A$29,0)</formula>
    </cfRule>
    <cfRule type="expression" dxfId="576" priority="517" stopIfTrue="1">
      <formula>WEEKDAY($L$31)=1</formula>
    </cfRule>
  </conditionalFormatting>
  <conditionalFormatting sqref="L32">
    <cfRule type="expression" dxfId="575" priority="519" stopIfTrue="1">
      <formula>MATCH($L$32,$A$10:$A$29,0)</formula>
    </cfRule>
    <cfRule type="expression" dxfId="574" priority="520" stopIfTrue="1">
      <formula>WEEKDAY($L$32)=1</formula>
    </cfRule>
    <cfRule type="expression" dxfId="573" priority="521" stopIfTrue="1">
      <formula>WEEKDAY($L$32)=7</formula>
    </cfRule>
  </conditionalFormatting>
  <conditionalFormatting sqref="L33">
    <cfRule type="expression" dxfId="572" priority="522" stopIfTrue="1">
      <formula>MATCH($L$33,$A$10:$A$29,0)</formula>
    </cfRule>
    <cfRule type="expression" dxfId="571" priority="523" stopIfTrue="1">
      <formula>WEEKDAY($L$33)=1</formula>
    </cfRule>
    <cfRule type="expression" dxfId="570" priority="524" stopIfTrue="1">
      <formula>WEEKDAY($L$33)=7</formula>
    </cfRule>
  </conditionalFormatting>
  <conditionalFormatting sqref="L34">
    <cfRule type="expression" dxfId="569" priority="525" stopIfTrue="1">
      <formula>MATCH($L$34,$A$10:$A$29,0)</formula>
    </cfRule>
    <cfRule type="expression" dxfId="568" priority="526" stopIfTrue="1">
      <formula>WEEKDAY($L$34)=1</formula>
    </cfRule>
    <cfRule type="expression" dxfId="567" priority="527" stopIfTrue="1">
      <formula>WEEKDAY($L$34)=7</formula>
    </cfRule>
  </conditionalFormatting>
  <conditionalFormatting sqref="L35">
    <cfRule type="expression" dxfId="566" priority="528" stopIfTrue="1">
      <formula>MATCH($L$35,$A$10:$A$29,0)</formula>
    </cfRule>
    <cfRule type="expression" dxfId="565" priority="529" stopIfTrue="1">
      <formula>WEEKDAY($L$35)=1</formula>
    </cfRule>
    <cfRule type="expression" dxfId="564" priority="530" stopIfTrue="1">
      <formula>WEEKDAY($L$35)=7</formula>
    </cfRule>
  </conditionalFormatting>
  <conditionalFormatting sqref="L36">
    <cfRule type="expression" dxfId="563" priority="531" stopIfTrue="1">
      <formula>MATCH($L$36,$A$10:$A$29,0)</formula>
    </cfRule>
    <cfRule type="expression" dxfId="562" priority="532" stopIfTrue="1">
      <formula>WEEKDAY($L$36)=1</formula>
    </cfRule>
    <cfRule type="expression" dxfId="561" priority="533" stopIfTrue="1">
      <formula>WEEKDAY($L$36)=7</formula>
    </cfRule>
  </conditionalFormatting>
  <conditionalFormatting sqref="L37">
    <cfRule type="expression" dxfId="560" priority="534" stopIfTrue="1">
      <formula>MATCH($L$37,$A$10:$A$29,0)</formula>
    </cfRule>
    <cfRule type="expression" dxfId="559" priority="535" stopIfTrue="1">
      <formula>WEEKDAY($L$37)=1</formula>
    </cfRule>
    <cfRule type="expression" dxfId="558" priority="536" stopIfTrue="1">
      <formula>WEEKDAY($L$37)=7</formula>
    </cfRule>
  </conditionalFormatting>
  <conditionalFormatting sqref="L38">
    <cfRule type="expression" dxfId="557" priority="537" stopIfTrue="1">
      <formula>MATCH($L$38,$A$10:$A$29,0)</formula>
    </cfRule>
    <cfRule type="expression" dxfId="556" priority="538" stopIfTrue="1">
      <formula>WEEKDAY($L$38)=1</formula>
    </cfRule>
    <cfRule type="expression" dxfId="555" priority="539" stopIfTrue="1">
      <formula>WEEKDAY($L$38)=7</formula>
    </cfRule>
  </conditionalFormatting>
  <conditionalFormatting sqref="L39">
    <cfRule type="expression" dxfId="554" priority="540" stopIfTrue="1">
      <formula>MATCH($L$39,$A$10:$A$29,0)</formula>
    </cfRule>
    <cfRule type="expression" dxfId="553" priority="541" stopIfTrue="1">
      <formula>WEEKDAY($L$39)=1</formula>
    </cfRule>
    <cfRule type="expression" dxfId="552" priority="542" stopIfTrue="1">
      <formula>WEEKDAY($L$39)=7</formula>
    </cfRule>
  </conditionalFormatting>
  <conditionalFormatting sqref="N10">
    <cfRule type="expression" dxfId="551" priority="543" stopIfTrue="1">
      <formula>MATCH($N$10,$A$10:$A$29,0)</formula>
    </cfRule>
    <cfRule type="expression" dxfId="550" priority="544" stopIfTrue="1">
      <formula>WEEKDAY($N$10)=1</formula>
    </cfRule>
    <cfRule type="expression" dxfId="549" priority="545" stopIfTrue="1">
      <formula>WEEKDAY($N$10)=7</formula>
    </cfRule>
  </conditionalFormatting>
  <conditionalFormatting sqref="N11">
    <cfRule type="expression" dxfId="548" priority="546" stopIfTrue="1">
      <formula>MATCH($N$11,$A$10:$A$29,0)</formula>
    </cfRule>
    <cfRule type="expression" dxfId="547" priority="547" stopIfTrue="1">
      <formula>WEEKDAY($N$11)=1</formula>
    </cfRule>
    <cfRule type="expression" dxfId="546" priority="548" stopIfTrue="1">
      <formula>WEEKDAY($N$11)=7</formula>
    </cfRule>
  </conditionalFormatting>
  <conditionalFormatting sqref="N12">
    <cfRule type="expression" dxfId="545" priority="549" stopIfTrue="1">
      <formula>MATCH($N$12,$A$10:$A$29,0)</formula>
    </cfRule>
    <cfRule type="expression" dxfId="544" priority="550" stopIfTrue="1">
      <formula>WEEKDAY($N$12)=1</formula>
    </cfRule>
    <cfRule type="expression" dxfId="543" priority="551" stopIfTrue="1">
      <formula>WEEKDAY($N$12)=7</formula>
    </cfRule>
  </conditionalFormatting>
  <conditionalFormatting sqref="N13">
    <cfRule type="expression" dxfId="542" priority="554" stopIfTrue="1">
      <formula>WEEKDAY($N$13)=7</formula>
    </cfRule>
    <cfRule type="expression" dxfId="541" priority="553" stopIfTrue="1">
      <formula>WEEKDAY($N$13)=1</formula>
    </cfRule>
    <cfRule type="expression" dxfId="540" priority="552" stopIfTrue="1">
      <formula>MATCH($N$13,$A$10:$A$29,0)</formula>
    </cfRule>
  </conditionalFormatting>
  <conditionalFormatting sqref="N14">
    <cfRule type="expression" dxfId="539" priority="557" stopIfTrue="1">
      <formula>WEEKDAY($N$14)=7</formula>
    </cfRule>
    <cfRule type="expression" dxfId="538" priority="556" stopIfTrue="1">
      <formula>WEEKDAY($N$14)=1</formula>
    </cfRule>
    <cfRule type="expression" dxfId="537" priority="555" stopIfTrue="1">
      <formula>MATCH($N$14,$A$10:$A$29,0)</formula>
    </cfRule>
  </conditionalFormatting>
  <conditionalFormatting sqref="N15">
    <cfRule type="expression" dxfId="536" priority="558" stopIfTrue="1">
      <formula>MATCH($N$15,$A$10:$A$29,0)</formula>
    </cfRule>
    <cfRule type="expression" dxfId="535" priority="559" stopIfTrue="1">
      <formula>WEEKDAY($N$15)=1</formula>
    </cfRule>
    <cfRule type="expression" dxfId="534" priority="560" stopIfTrue="1">
      <formula>WEEKDAY($N$15)=7</formula>
    </cfRule>
  </conditionalFormatting>
  <conditionalFormatting sqref="N16">
    <cfRule type="expression" dxfId="533" priority="561" stopIfTrue="1">
      <formula>MATCH($N$16,$A$10:$A$29,0)</formula>
    </cfRule>
    <cfRule type="expression" dxfId="532" priority="562" stopIfTrue="1">
      <formula>WEEKDAY($N$16)=1</formula>
    </cfRule>
    <cfRule type="expression" dxfId="531" priority="563" stopIfTrue="1">
      <formula>WEEKDAY($N$16)=7</formula>
    </cfRule>
  </conditionalFormatting>
  <conditionalFormatting sqref="N17">
    <cfRule type="expression" dxfId="530" priority="564" stopIfTrue="1">
      <formula>MATCH($N$17,$A$10:$A$29,0)</formula>
    </cfRule>
    <cfRule type="expression" dxfId="529" priority="565" stopIfTrue="1">
      <formula>WEEKDAY($N$17)=1</formula>
    </cfRule>
    <cfRule type="expression" dxfId="528" priority="566" stopIfTrue="1">
      <formula>WEEKDAY($N$17)=7</formula>
    </cfRule>
  </conditionalFormatting>
  <conditionalFormatting sqref="N18">
    <cfRule type="expression" dxfId="527" priority="567" stopIfTrue="1">
      <formula>MATCH($N$18,$A$10:$A$29,0)</formula>
    </cfRule>
    <cfRule type="expression" dxfId="526" priority="568" stopIfTrue="1">
      <formula>WEEKDAY($N$18)=1</formula>
    </cfRule>
    <cfRule type="expression" dxfId="525" priority="569" stopIfTrue="1">
      <formula>WEEKDAY($N$18)=7</formula>
    </cfRule>
  </conditionalFormatting>
  <conditionalFormatting sqref="N19">
    <cfRule type="expression" dxfId="524" priority="570" stopIfTrue="1">
      <formula>MATCH($N$19,$A$10:$A$29,0)</formula>
    </cfRule>
    <cfRule type="expression" dxfId="523" priority="571" stopIfTrue="1">
      <formula>WEEKDAY($N$19)=1</formula>
    </cfRule>
    <cfRule type="expression" dxfId="522" priority="572" stopIfTrue="1">
      <formula>WEEKDAY($N$19)=7</formula>
    </cfRule>
  </conditionalFormatting>
  <conditionalFormatting sqref="N20">
    <cfRule type="expression" dxfId="521" priority="573" stopIfTrue="1">
      <formula>MATCH($N$20,$A$10:$A$29,0)</formula>
    </cfRule>
    <cfRule type="expression" dxfId="520" priority="574" stopIfTrue="1">
      <formula>WEEKDAY($N$20)=1</formula>
    </cfRule>
    <cfRule type="expression" dxfId="519" priority="575" stopIfTrue="1">
      <formula>WEEKDAY($N$20)=7</formula>
    </cfRule>
  </conditionalFormatting>
  <conditionalFormatting sqref="N21">
    <cfRule type="expression" dxfId="518" priority="578" stopIfTrue="1">
      <formula>WEEKDAY($N$21)=7</formula>
    </cfRule>
    <cfRule type="expression" dxfId="517" priority="577" stopIfTrue="1">
      <formula>WEEKDAY($N$21)=1</formula>
    </cfRule>
    <cfRule type="expression" dxfId="516" priority="576" stopIfTrue="1">
      <formula>MATCH($N$21,$A$10:$A$29,0)</formula>
    </cfRule>
  </conditionalFormatting>
  <conditionalFormatting sqref="N22">
    <cfRule type="expression" dxfId="515" priority="581" stopIfTrue="1">
      <formula>WEEKDAY($N$22)=7</formula>
    </cfRule>
    <cfRule type="expression" dxfId="514" priority="579" stopIfTrue="1">
      <formula>MATCH($N$22,$A$10:$A$29,0)</formula>
    </cfRule>
    <cfRule type="expression" dxfId="513" priority="580" stopIfTrue="1">
      <formula>WEEKDAY($N$22)=1</formula>
    </cfRule>
  </conditionalFormatting>
  <conditionalFormatting sqref="N23">
    <cfRule type="expression" dxfId="512" priority="582" stopIfTrue="1">
      <formula>MATCH($N$23,$A$10:$A$29,0)</formula>
    </cfRule>
    <cfRule type="expression" dxfId="511" priority="583" stopIfTrue="1">
      <formula>WEEKDAY($N$23)=1</formula>
    </cfRule>
    <cfRule type="expression" dxfId="510" priority="584" stopIfTrue="1">
      <formula>WEEKDAY($N$23)=7</formula>
    </cfRule>
  </conditionalFormatting>
  <conditionalFormatting sqref="N24">
    <cfRule type="expression" dxfId="509" priority="585" stopIfTrue="1">
      <formula>MATCH($N$24,$A$10:$A$29,0)</formula>
    </cfRule>
    <cfRule type="expression" dxfId="508" priority="586" stopIfTrue="1">
      <formula>WEEKDAY($N$24)=1</formula>
    </cfRule>
    <cfRule type="expression" dxfId="507" priority="587" stopIfTrue="1">
      <formula>WEEKDAY($N$24)=7</formula>
    </cfRule>
  </conditionalFormatting>
  <conditionalFormatting sqref="N25">
    <cfRule type="expression" dxfId="506" priority="589" stopIfTrue="1">
      <formula>WEEKDAY($N$25)=1</formula>
    </cfRule>
    <cfRule type="expression" dxfId="505" priority="590" stopIfTrue="1">
      <formula>WEEKDAY($N$25)=7</formula>
    </cfRule>
    <cfRule type="expression" dxfId="504" priority="588" stopIfTrue="1">
      <formula>MATCH($N$25,$A$10:$A$29,0)</formula>
    </cfRule>
  </conditionalFormatting>
  <conditionalFormatting sqref="N26">
    <cfRule type="expression" dxfId="503" priority="591" stopIfTrue="1">
      <formula>MATCH($N$26,$A$10:$A$29,0)</formula>
    </cfRule>
    <cfRule type="expression" dxfId="502" priority="593" stopIfTrue="1">
      <formula>WEEKDAY($N$26)=7</formula>
    </cfRule>
    <cfRule type="expression" dxfId="501" priority="592" stopIfTrue="1">
      <formula>WEEKDAY($N$26)=1</formula>
    </cfRule>
  </conditionalFormatting>
  <conditionalFormatting sqref="N27">
    <cfRule type="expression" dxfId="500" priority="594" stopIfTrue="1">
      <formula>MATCH($N$27,$A$10:$A$29,0)</formula>
    </cfRule>
    <cfRule type="expression" dxfId="499" priority="595" stopIfTrue="1">
      <formula>WEEKDAY($N$27)=1</formula>
    </cfRule>
    <cfRule type="expression" dxfId="498" priority="596" stopIfTrue="1">
      <formula>WEEKDAY($N$27)=7</formula>
    </cfRule>
  </conditionalFormatting>
  <conditionalFormatting sqref="N28">
    <cfRule type="expression" dxfId="497" priority="597" stopIfTrue="1">
      <formula>MATCH($N$28,$A$10:$A$29,0)</formula>
    </cfRule>
    <cfRule type="expression" dxfId="496" priority="598" stopIfTrue="1">
      <formula>WEEKDAY($N$28)=1</formula>
    </cfRule>
    <cfRule type="expression" dxfId="495" priority="599" stopIfTrue="1">
      <formula>WEEKDAY($N$28)=7</formula>
    </cfRule>
  </conditionalFormatting>
  <conditionalFormatting sqref="N29">
    <cfRule type="expression" dxfId="494" priority="600" stopIfTrue="1">
      <formula>MATCH($N$29,$A$10:$A$29,0)</formula>
    </cfRule>
    <cfRule type="expression" dxfId="493" priority="601" stopIfTrue="1">
      <formula>WEEKDAY($N$29)=1</formula>
    </cfRule>
    <cfRule type="expression" dxfId="492" priority="602" stopIfTrue="1">
      <formula>WEEKDAY($N$29)=7</formula>
    </cfRule>
  </conditionalFormatting>
  <conditionalFormatting sqref="N30">
    <cfRule type="expression" dxfId="491" priority="603" stopIfTrue="1">
      <formula>MATCH($N$30,$A$10:$A$29,0)</formula>
    </cfRule>
    <cfRule type="expression" dxfId="490" priority="604" stopIfTrue="1">
      <formula>WEEKDAY($N$30)=1</formula>
    </cfRule>
    <cfRule type="expression" dxfId="489" priority="605" stopIfTrue="1">
      <formula>WEEKDAY($N$30)=7</formula>
    </cfRule>
  </conditionalFormatting>
  <conditionalFormatting sqref="N31">
    <cfRule type="expression" dxfId="488" priority="606" stopIfTrue="1">
      <formula>MATCH($N$31,$A$10:$A$29,0)</formula>
    </cfRule>
    <cfRule type="expression" dxfId="487" priority="607" stopIfTrue="1">
      <formula>WEEKDAY($N$31)=1</formula>
    </cfRule>
    <cfRule type="expression" dxfId="486" priority="608" stopIfTrue="1">
      <formula>WEEKDAY($N$31)=7</formula>
    </cfRule>
  </conditionalFormatting>
  <conditionalFormatting sqref="N32">
    <cfRule type="expression" dxfId="485" priority="609" stopIfTrue="1">
      <formula>MATCH($N$32,$A$10:$A$29,0)</formula>
    </cfRule>
    <cfRule type="expression" dxfId="484" priority="610" stopIfTrue="1">
      <formula>WEEKDAY($N$32)=1</formula>
    </cfRule>
    <cfRule type="expression" dxfId="483" priority="611" stopIfTrue="1">
      <formula>WEEKDAY($N$32)=7</formula>
    </cfRule>
  </conditionalFormatting>
  <conditionalFormatting sqref="N33">
    <cfRule type="expression" dxfId="482" priority="612" stopIfTrue="1">
      <formula>MATCH($N$33,$A$10:$A$29,0)</formula>
    </cfRule>
    <cfRule type="expression" dxfId="481" priority="613" stopIfTrue="1">
      <formula>WEEKDAY($N$33)=1</formula>
    </cfRule>
    <cfRule type="expression" dxfId="480" priority="614" stopIfTrue="1">
      <formula>WEEKDAY($N$33)=7</formula>
    </cfRule>
  </conditionalFormatting>
  <conditionalFormatting sqref="N34">
    <cfRule type="expression" dxfId="479" priority="615" stopIfTrue="1">
      <formula>MATCH($N$34,$A$10:$A$29,0)</formula>
    </cfRule>
    <cfRule type="expression" dxfId="478" priority="616" stopIfTrue="1">
      <formula>WEEKDAY($N$34)=1</formula>
    </cfRule>
    <cfRule type="expression" dxfId="477" priority="617" stopIfTrue="1">
      <formula>WEEKDAY($N$34)=7</formula>
    </cfRule>
  </conditionalFormatting>
  <conditionalFormatting sqref="N35">
    <cfRule type="expression" dxfId="476" priority="618" stopIfTrue="1">
      <formula>MATCH($N$35,$A$10:$A$29,0)</formula>
    </cfRule>
    <cfRule type="expression" dxfId="475" priority="619" stopIfTrue="1">
      <formula>WEEKDAY($N$35)=1</formula>
    </cfRule>
    <cfRule type="expression" dxfId="474" priority="620" stopIfTrue="1">
      <formula>WEEKDAY($N$35)=7</formula>
    </cfRule>
  </conditionalFormatting>
  <conditionalFormatting sqref="N36">
    <cfRule type="expression" dxfId="473" priority="621" stopIfTrue="1">
      <formula>MATCH($N$36,$A$10:$A$29,0)</formula>
    </cfRule>
    <cfRule type="expression" dxfId="472" priority="622" stopIfTrue="1">
      <formula>WEEKDAY($N$36)=1</formula>
    </cfRule>
    <cfRule type="expression" dxfId="471" priority="623" stopIfTrue="1">
      <formula>WEEKDAY($N$36)=7</formula>
    </cfRule>
  </conditionalFormatting>
  <conditionalFormatting sqref="N37">
    <cfRule type="expression" dxfId="470" priority="624" stopIfTrue="1">
      <formula>MATCH($N$37,$A$10:$A$29,0)</formula>
    </cfRule>
    <cfRule type="expression" dxfId="469" priority="625" stopIfTrue="1">
      <formula>WEEKDAY($N$37)=1</formula>
    </cfRule>
    <cfRule type="expression" dxfId="468" priority="626" stopIfTrue="1">
      <formula>WEEKDAY($N$37)=7</formula>
    </cfRule>
  </conditionalFormatting>
  <conditionalFormatting sqref="N38">
    <cfRule type="expression" dxfId="467" priority="627" stopIfTrue="1">
      <formula>MATCH($N$38,$A$10:$A$29,0)</formula>
    </cfRule>
    <cfRule type="expression" dxfId="466" priority="628" stopIfTrue="1">
      <formula>WEEKDAY($N$38)=1</formula>
    </cfRule>
    <cfRule type="expression" dxfId="465" priority="629" stopIfTrue="1">
      <formula>WEEKDAY($N$38)=7</formula>
    </cfRule>
  </conditionalFormatting>
  <conditionalFormatting sqref="N39">
    <cfRule type="expression" dxfId="464" priority="630" stopIfTrue="1">
      <formula>MATCH($N$39,$A$10:$A$29,0)</formula>
    </cfRule>
    <cfRule type="expression" dxfId="463" priority="631" stopIfTrue="1">
      <formula>WEEKDAY($N$39)=1</formula>
    </cfRule>
    <cfRule type="expression" dxfId="462" priority="632" stopIfTrue="1">
      <formula>WEEKDAY($N$39)=7</formula>
    </cfRule>
  </conditionalFormatting>
  <conditionalFormatting sqref="N40">
    <cfRule type="expression" dxfId="461" priority="634" stopIfTrue="1">
      <formula>WEEKDAY($N$40)=1</formula>
    </cfRule>
    <cfRule type="expression" dxfId="460" priority="633" stopIfTrue="1">
      <formula>MATCH($N$40,$A$10:$A$29,0)</formula>
    </cfRule>
    <cfRule type="expression" dxfId="459" priority="635" stopIfTrue="1">
      <formula>WEEKDAY($N$40)=7</formula>
    </cfRule>
  </conditionalFormatting>
  <conditionalFormatting sqref="P10">
    <cfRule type="expression" dxfId="458" priority="638" stopIfTrue="1">
      <formula>WEEKDAY($P$10)=7</formula>
    </cfRule>
    <cfRule type="expression" dxfId="457" priority="637" stopIfTrue="1">
      <formula>WEEKDAY($P$10)=1</formula>
    </cfRule>
    <cfRule type="expression" dxfId="456" priority="636" stopIfTrue="1">
      <formula>MATCH($P$10,$A$10:$A$29,0)</formula>
    </cfRule>
  </conditionalFormatting>
  <conditionalFormatting sqref="P11">
    <cfRule type="expression" dxfId="455" priority="640" stopIfTrue="1">
      <formula>WEEKDAY($P$11)=1</formula>
    </cfRule>
    <cfRule type="expression" dxfId="454" priority="641" stopIfTrue="1">
      <formula>WEEKDAY($P$11)=7</formula>
    </cfRule>
    <cfRule type="expression" dxfId="453" priority="639" stopIfTrue="1">
      <formula>MATCH($P$11,$A$10:$A$29,0)</formula>
    </cfRule>
  </conditionalFormatting>
  <conditionalFormatting sqref="P12">
    <cfRule type="expression" dxfId="452" priority="642" stopIfTrue="1">
      <formula>MATCH($P$12,$A$10:$A$29,0)</formula>
    </cfRule>
    <cfRule type="expression" dxfId="451" priority="643" stopIfTrue="1">
      <formula>WEEKDAY($P$12)=1</formula>
    </cfRule>
    <cfRule type="expression" dxfId="450" priority="644" stopIfTrue="1">
      <formula>WEEKDAY($P$12)=7</formula>
    </cfRule>
  </conditionalFormatting>
  <conditionalFormatting sqref="P13">
    <cfRule type="expression" dxfId="449" priority="645" stopIfTrue="1">
      <formula>MATCH($P$13,$A$10:$A$29,0)</formula>
    </cfRule>
    <cfRule type="expression" dxfId="448" priority="646" stopIfTrue="1">
      <formula>WEEKDAY($P$13)=1</formula>
    </cfRule>
    <cfRule type="expression" dxfId="447" priority="647" stopIfTrue="1">
      <formula>WEEKDAY($P$13)=7</formula>
    </cfRule>
  </conditionalFormatting>
  <conditionalFormatting sqref="P14">
    <cfRule type="expression" dxfId="446" priority="648" stopIfTrue="1">
      <formula>MATCH($P$14,$A$10:$A$29,0)</formula>
    </cfRule>
    <cfRule type="expression" dxfId="445" priority="649" stopIfTrue="1">
      <formula>WEEKDAY($P$14)=1</formula>
    </cfRule>
    <cfRule type="expression" dxfId="444" priority="650" stopIfTrue="1">
      <formula>WEEKDAY($P$14)=7</formula>
    </cfRule>
  </conditionalFormatting>
  <conditionalFormatting sqref="P15">
    <cfRule type="expression" dxfId="443" priority="651" stopIfTrue="1">
      <formula>MATCH($P$15,$A$10:$A$29,0)</formula>
    </cfRule>
    <cfRule type="expression" dxfId="442" priority="653" stopIfTrue="1">
      <formula>WEEKDAY($P$15)=7</formula>
    </cfRule>
    <cfRule type="expression" dxfId="441" priority="652" stopIfTrue="1">
      <formula>WEEKDAY($P$15)=1</formula>
    </cfRule>
  </conditionalFormatting>
  <conditionalFormatting sqref="P16">
    <cfRule type="expression" dxfId="440" priority="656" stopIfTrue="1">
      <formula>WEEKDAY($P$16)=7</formula>
    </cfRule>
    <cfRule type="expression" dxfId="439" priority="655" stopIfTrue="1">
      <formula>WEEKDAY($P$16)=1</formula>
    </cfRule>
    <cfRule type="expression" dxfId="438" priority="654" stopIfTrue="1">
      <formula>MATCH($P$16,$A$10:$A$29,0)</formula>
    </cfRule>
  </conditionalFormatting>
  <conditionalFormatting sqref="P17">
    <cfRule type="expression" dxfId="437" priority="658" stopIfTrue="1">
      <formula>WEEKDAY($P$17)=1</formula>
    </cfRule>
    <cfRule type="expression" dxfId="436" priority="659" stopIfTrue="1">
      <formula>WEEKDAY($P$17)=7</formula>
    </cfRule>
    <cfRule type="expression" dxfId="435" priority="657" stopIfTrue="1">
      <formula>MATCH($P$17,$A$10:$A$29,0)</formula>
    </cfRule>
  </conditionalFormatting>
  <conditionalFormatting sqref="P18">
    <cfRule type="expression" dxfId="434" priority="660" stopIfTrue="1">
      <formula>MATCH($P$18,$A$10:$A$29,0)</formula>
    </cfRule>
    <cfRule type="expression" dxfId="433" priority="661" stopIfTrue="1">
      <formula>WEEKDAY($P$18)=1</formula>
    </cfRule>
    <cfRule type="expression" dxfId="432" priority="662" stopIfTrue="1">
      <formula>WEEKDAY($P$18)=7</formula>
    </cfRule>
  </conditionalFormatting>
  <conditionalFormatting sqref="P19">
    <cfRule type="expression" dxfId="431" priority="663" stopIfTrue="1">
      <formula>MATCH($P$19,$A$10:$A$29,0)</formula>
    </cfRule>
    <cfRule type="expression" dxfId="430" priority="664" stopIfTrue="1">
      <formula>WEEKDAY($P$19)=1</formula>
    </cfRule>
    <cfRule type="expression" dxfId="429" priority="665" stopIfTrue="1">
      <formula>WEEKDAY($P$19)=7</formula>
    </cfRule>
  </conditionalFormatting>
  <conditionalFormatting sqref="P20">
    <cfRule type="expression" dxfId="428" priority="666" stopIfTrue="1">
      <formula>MATCH($P$20,$A$10:$A$29,0)</formula>
    </cfRule>
    <cfRule type="expression" dxfId="427" priority="667" stopIfTrue="1">
      <formula>WEEKDAY($P$20)=1</formula>
    </cfRule>
    <cfRule type="expression" dxfId="426" priority="668" stopIfTrue="1">
      <formula>WEEKDAY($P$20)=7</formula>
    </cfRule>
  </conditionalFormatting>
  <conditionalFormatting sqref="P21">
    <cfRule type="expression" dxfId="425" priority="669" stopIfTrue="1">
      <formula>MATCH($P$21,$A$10:$A$29,0)</formula>
    </cfRule>
    <cfRule type="expression" dxfId="424" priority="670" stopIfTrue="1">
      <formula>WEEKDAY($P$21)=1</formula>
    </cfRule>
    <cfRule type="expression" dxfId="423" priority="671" stopIfTrue="1">
      <formula>WEEKDAY($P$21)=7</formula>
    </cfRule>
  </conditionalFormatting>
  <conditionalFormatting sqref="P22">
    <cfRule type="expression" dxfId="422" priority="672" stopIfTrue="1">
      <formula>MATCH($P$22,$A$10:$A$29,0)</formula>
    </cfRule>
    <cfRule type="expression" dxfId="421" priority="673" stopIfTrue="1">
      <formula>WEEKDAY($P$22)=1</formula>
    </cfRule>
    <cfRule type="expression" dxfId="420" priority="674" stopIfTrue="1">
      <formula>WEEKDAY($P$22)=7</formula>
    </cfRule>
  </conditionalFormatting>
  <conditionalFormatting sqref="P23">
    <cfRule type="expression" dxfId="419" priority="675" stopIfTrue="1">
      <formula>MATCH($P$23,$A$10:$A$29,0)</formula>
    </cfRule>
    <cfRule type="expression" dxfId="418" priority="676" stopIfTrue="1">
      <formula>WEEKDAY($P$23)=1</formula>
    </cfRule>
    <cfRule type="expression" dxfId="417" priority="677" stopIfTrue="1">
      <formula>WEEKDAY($P$23)=7</formula>
    </cfRule>
  </conditionalFormatting>
  <conditionalFormatting sqref="P24">
    <cfRule type="expression" dxfId="416" priority="678" stopIfTrue="1">
      <formula>MATCH($P$24,$A$10:$A$29,0)</formula>
    </cfRule>
    <cfRule type="expression" dxfId="415" priority="679" stopIfTrue="1">
      <formula>WEEKDAY($P$24)=1</formula>
    </cfRule>
    <cfRule type="expression" dxfId="414" priority="680" stopIfTrue="1">
      <formula>WEEKDAY($P$24)=7</formula>
    </cfRule>
  </conditionalFormatting>
  <conditionalFormatting sqref="P25">
    <cfRule type="expression" dxfId="413" priority="681" stopIfTrue="1">
      <formula>MATCH($P$25,$A$10:$A$29,0)</formula>
    </cfRule>
    <cfRule type="expression" dxfId="412" priority="682" stopIfTrue="1">
      <formula>WEEKDAY($P$25)=1</formula>
    </cfRule>
    <cfRule type="expression" dxfId="411" priority="683" stopIfTrue="1">
      <formula>WEEKDAY($P$25)=7</formula>
    </cfRule>
  </conditionalFormatting>
  <conditionalFormatting sqref="P26">
    <cfRule type="expression" dxfId="410" priority="684" stopIfTrue="1">
      <formula>MATCH($P$26,$A$10:$A$29,0)</formula>
    </cfRule>
    <cfRule type="expression" dxfId="409" priority="685" stopIfTrue="1">
      <formula>WEEKDAY($P$26)=1</formula>
    </cfRule>
    <cfRule type="expression" dxfId="408" priority="686" stopIfTrue="1">
      <formula>WEEKDAY($P$26)=7</formula>
    </cfRule>
  </conditionalFormatting>
  <conditionalFormatting sqref="P27">
    <cfRule type="expression" dxfId="407" priority="688" stopIfTrue="1">
      <formula>WEEKDAY($P$27)=1</formula>
    </cfRule>
    <cfRule type="expression" dxfId="406" priority="689" stopIfTrue="1">
      <formula>WEEKDAY($P$27)=7</formula>
    </cfRule>
    <cfRule type="expression" dxfId="405" priority="687" stopIfTrue="1">
      <formula>MATCH($P$27,$A$10:$A$29,0)</formula>
    </cfRule>
  </conditionalFormatting>
  <conditionalFormatting sqref="P28">
    <cfRule type="expression" dxfId="404" priority="690" stopIfTrue="1">
      <formula>MATCH($P$28,$A$10:$A$29,0)</formula>
    </cfRule>
    <cfRule type="expression" dxfId="403" priority="691" stopIfTrue="1">
      <formula>WEEKDAY($P$28)=1</formula>
    </cfRule>
    <cfRule type="expression" dxfId="402" priority="692" stopIfTrue="1">
      <formula>WEEKDAY($P$28)=7</formula>
    </cfRule>
  </conditionalFormatting>
  <conditionalFormatting sqref="P29">
    <cfRule type="expression" dxfId="401" priority="693" stopIfTrue="1">
      <formula>MATCH($P$29,$A$10:$A$29,0)</formula>
    </cfRule>
    <cfRule type="expression" dxfId="400" priority="695" stopIfTrue="1">
      <formula>WEEKDAY($P$29)=7</formula>
    </cfRule>
    <cfRule type="expression" dxfId="399" priority="694" stopIfTrue="1">
      <formula>WEEKDAY($P$29)=1</formula>
    </cfRule>
  </conditionalFormatting>
  <conditionalFormatting sqref="P30">
    <cfRule type="expression" dxfId="398" priority="696" stopIfTrue="1">
      <formula>MATCH($P$30,$A$10:$A$29,0)</formula>
    </cfRule>
    <cfRule type="expression" dxfId="397" priority="697" stopIfTrue="1">
      <formula>WEEKDAY($P$30)=1</formula>
    </cfRule>
    <cfRule type="expression" dxfId="396" priority="698" stopIfTrue="1">
      <formula>WEEKDAY($P$30)=7</formula>
    </cfRule>
  </conditionalFormatting>
  <conditionalFormatting sqref="P31">
    <cfRule type="expression" dxfId="395" priority="700" stopIfTrue="1">
      <formula>WEEKDAY($P$31)=1</formula>
    </cfRule>
    <cfRule type="expression" dxfId="394" priority="699" stopIfTrue="1">
      <formula>MATCH($P$31,$A$10:$A$29,0)</formula>
    </cfRule>
    <cfRule type="expression" dxfId="393" priority="701" stopIfTrue="1">
      <formula>WEEKDAY($P$31)=7</formula>
    </cfRule>
  </conditionalFormatting>
  <conditionalFormatting sqref="P32">
    <cfRule type="expression" dxfId="392" priority="704" stopIfTrue="1">
      <formula>WEEKDAY($P$32)=7</formula>
    </cfRule>
    <cfRule type="expression" dxfId="391" priority="703" stopIfTrue="1">
      <formula>WEEKDAY($P$32)=1</formula>
    </cfRule>
    <cfRule type="expression" dxfId="390" priority="702" stopIfTrue="1">
      <formula>MATCH($P$32,$A$10:$A$29,0)</formula>
    </cfRule>
  </conditionalFormatting>
  <conditionalFormatting sqref="P33">
    <cfRule type="expression" dxfId="389" priority="705" stopIfTrue="1">
      <formula>MATCH($P$33,$A$10:$A$29,0)</formula>
    </cfRule>
    <cfRule type="expression" dxfId="388" priority="706" stopIfTrue="1">
      <formula>WEEKDAY($P$33)=1</formula>
    </cfRule>
    <cfRule type="expression" dxfId="387" priority="707" stopIfTrue="1">
      <formula>WEEKDAY($P$33)=7</formula>
    </cfRule>
  </conditionalFormatting>
  <conditionalFormatting sqref="P34">
    <cfRule type="expression" dxfId="386" priority="708" stopIfTrue="1">
      <formula>MATCH($P$34,$A$10:$A$29,0)</formula>
    </cfRule>
    <cfRule type="expression" dxfId="385" priority="709" stopIfTrue="1">
      <formula>WEEKDAY($P$34)=1</formula>
    </cfRule>
    <cfRule type="expression" dxfId="384" priority="710" stopIfTrue="1">
      <formula>WEEKDAY($P$34)=7</formula>
    </cfRule>
  </conditionalFormatting>
  <conditionalFormatting sqref="P35">
    <cfRule type="expression" dxfId="383" priority="711" stopIfTrue="1">
      <formula>MATCH($P$35,$A$10:$A$29,0)</formula>
    </cfRule>
    <cfRule type="expression" dxfId="382" priority="712" stopIfTrue="1">
      <formula>WEEKDAY($P$35)=1</formula>
    </cfRule>
    <cfRule type="expression" dxfId="381" priority="713" stopIfTrue="1">
      <formula>WEEKDAY($P$35)=7</formula>
    </cfRule>
  </conditionalFormatting>
  <conditionalFormatting sqref="P36">
    <cfRule type="expression" dxfId="380" priority="714" stopIfTrue="1">
      <formula>MATCH($P$36,$A$10:$A$29,0)</formula>
    </cfRule>
    <cfRule type="expression" dxfId="379" priority="715" stopIfTrue="1">
      <formula>WEEKDAY($P$36)=1</formula>
    </cfRule>
    <cfRule type="expression" dxfId="378" priority="716" stopIfTrue="1">
      <formula>WEEKDAY($P$36)=7</formula>
    </cfRule>
  </conditionalFormatting>
  <conditionalFormatting sqref="P37">
    <cfRule type="expression" dxfId="377" priority="717" stopIfTrue="1">
      <formula>MATCH($P$37,$A$10:$A$29,0)</formula>
    </cfRule>
    <cfRule type="expression" dxfId="376" priority="718" stopIfTrue="1">
      <formula>WEEKDAY($P$37)=1</formula>
    </cfRule>
    <cfRule type="expression" dxfId="375" priority="719" stopIfTrue="1">
      <formula>WEEKDAY($P$37)=7</formula>
    </cfRule>
  </conditionalFormatting>
  <conditionalFormatting sqref="P38">
    <cfRule type="expression" dxfId="374" priority="720" stopIfTrue="1">
      <formula>MATCH($P$38,$A$10:$A$29,0)</formula>
    </cfRule>
    <cfRule type="expression" dxfId="373" priority="721" stopIfTrue="1">
      <formula>WEEKDAY($P$38)=1</formula>
    </cfRule>
    <cfRule type="expression" dxfId="372" priority="722" stopIfTrue="1">
      <formula>WEEKDAY($P$38)=7</formula>
    </cfRule>
  </conditionalFormatting>
  <conditionalFormatting sqref="P39">
    <cfRule type="expression" dxfId="371" priority="723" stopIfTrue="1">
      <formula>MATCH($P$39,$A$10:$A$29,0)</formula>
    </cfRule>
    <cfRule type="expression" dxfId="370" priority="724" stopIfTrue="1">
      <formula>WEEKDAY($P$39)=1</formula>
    </cfRule>
    <cfRule type="expression" dxfId="369" priority="725" stopIfTrue="1">
      <formula>WEEKDAY($P$39)=7</formula>
    </cfRule>
  </conditionalFormatting>
  <conditionalFormatting sqref="P40">
    <cfRule type="expression" dxfId="368" priority="726" stopIfTrue="1">
      <formula>MATCH($P$40,$A$10:$A$29,0)</formula>
    </cfRule>
    <cfRule type="expression" dxfId="367" priority="727" stopIfTrue="1">
      <formula>WEEKDAY($P$40)=1</formula>
    </cfRule>
    <cfRule type="expression" dxfId="366" priority="728" stopIfTrue="1">
      <formula>WEEKDAY($P$40)=7</formula>
    </cfRule>
  </conditionalFormatting>
  <conditionalFormatting sqref="R10">
    <cfRule type="expression" dxfId="365" priority="729" stopIfTrue="1">
      <formula>MATCH($R$10,$A$10:$A$29,0)</formula>
    </cfRule>
    <cfRule type="expression" dxfId="364" priority="730" stopIfTrue="1">
      <formula>WEEKDAY($R$10)=1</formula>
    </cfRule>
    <cfRule type="expression" dxfId="363" priority="731" stopIfTrue="1">
      <formula>WEEKDAY($R$10)=7</formula>
    </cfRule>
  </conditionalFormatting>
  <conditionalFormatting sqref="R11">
    <cfRule type="expression" dxfId="362" priority="732" stopIfTrue="1">
      <formula>MATCH($R$11,$A$10:$A$29,0)</formula>
    </cfRule>
    <cfRule type="expression" dxfId="361" priority="733" stopIfTrue="1">
      <formula>WEEKDAY($R$11)=1</formula>
    </cfRule>
    <cfRule type="expression" dxfId="360" priority="734" stopIfTrue="1">
      <formula>WEEKDAY($R$11)=7</formula>
    </cfRule>
  </conditionalFormatting>
  <conditionalFormatting sqref="R12">
    <cfRule type="expression" dxfId="359" priority="737" stopIfTrue="1">
      <formula>WEEKDAY($R$12)=7</formula>
    </cfRule>
    <cfRule type="expression" dxfId="358" priority="736" stopIfTrue="1">
      <formula>WEEKDAY($R$12)=1</formula>
    </cfRule>
    <cfRule type="expression" dxfId="357" priority="735" stopIfTrue="1">
      <formula>MATCH($R$12,$A$10:$A$29,0)</formula>
    </cfRule>
  </conditionalFormatting>
  <conditionalFormatting sqref="R13">
    <cfRule type="expression" dxfId="356" priority="740" stopIfTrue="1">
      <formula>WEEKDAY($R$13)=7</formula>
    </cfRule>
    <cfRule type="expression" dxfId="355" priority="738" stopIfTrue="1">
      <formula>MATCH($R$13,$A$10:$A$29,0)</formula>
    </cfRule>
    <cfRule type="expression" dxfId="354" priority="739" stopIfTrue="1">
      <formula>WEEKDAY($R$13)=1</formula>
    </cfRule>
  </conditionalFormatting>
  <conditionalFormatting sqref="R14">
    <cfRule type="expression" dxfId="353" priority="741" stopIfTrue="1">
      <formula>MATCH($R$14,$A$10:$A$29,0)</formula>
    </cfRule>
    <cfRule type="expression" dxfId="352" priority="742" stopIfTrue="1">
      <formula>WEEKDAY($R$14)=1</formula>
    </cfRule>
    <cfRule type="expression" dxfId="351" priority="743" stopIfTrue="1">
      <formula>WEEKDAY($R$14)=7</formula>
    </cfRule>
  </conditionalFormatting>
  <conditionalFormatting sqref="R15">
    <cfRule type="expression" dxfId="350" priority="744" stopIfTrue="1">
      <formula>MATCH($R$15,$A$10:$A$29,0)</formula>
    </cfRule>
    <cfRule type="expression" dxfId="349" priority="745" stopIfTrue="1">
      <formula>WEEKDAY($R$15)=1</formula>
    </cfRule>
    <cfRule type="expression" dxfId="348" priority="746" stopIfTrue="1">
      <formula>WEEKDAY($R$15)=7</formula>
    </cfRule>
  </conditionalFormatting>
  <conditionalFormatting sqref="R16">
    <cfRule type="expression" dxfId="347" priority="747" stopIfTrue="1">
      <formula>MATCH($R$16,$A$10:$A$29,0)</formula>
    </cfRule>
    <cfRule type="expression" dxfId="346" priority="748" stopIfTrue="1">
      <formula>WEEKDAY($R$16)=1</formula>
    </cfRule>
    <cfRule type="expression" dxfId="345" priority="749" stopIfTrue="1">
      <formula>WEEKDAY($R$16)=7</formula>
    </cfRule>
  </conditionalFormatting>
  <conditionalFormatting sqref="R17">
    <cfRule type="expression" dxfId="344" priority="750" stopIfTrue="1">
      <formula>MATCH($R$17,$A$10:$A$29,0)</formula>
    </cfRule>
    <cfRule type="expression" dxfId="343" priority="751" stopIfTrue="1">
      <formula>WEEKDAY($R$17)=1</formula>
    </cfRule>
    <cfRule type="expression" dxfId="342" priority="752" stopIfTrue="1">
      <formula>WEEKDAY($R$17)=7</formula>
    </cfRule>
  </conditionalFormatting>
  <conditionalFormatting sqref="R18">
    <cfRule type="expression" dxfId="341" priority="753" stopIfTrue="1">
      <formula>MATCH($R$18,$A$10:$A$29,0)</formula>
    </cfRule>
    <cfRule type="expression" dxfId="340" priority="754" stopIfTrue="1">
      <formula>WEEKDAY($R$18)=1</formula>
    </cfRule>
    <cfRule type="expression" dxfId="339" priority="755" stopIfTrue="1">
      <formula>WEEKDAY($R$18)=7</formula>
    </cfRule>
  </conditionalFormatting>
  <conditionalFormatting sqref="R19">
    <cfRule type="expression" dxfId="338" priority="756" stopIfTrue="1">
      <formula>MATCH($R$19,$A$10:$A$29,0)</formula>
    </cfRule>
    <cfRule type="expression" dxfId="337" priority="758" stopIfTrue="1">
      <formula>WEEKDAY($R$19)=7</formula>
    </cfRule>
    <cfRule type="expression" dxfId="336" priority="757" stopIfTrue="1">
      <formula>WEEKDAY($R$19)=1</formula>
    </cfRule>
  </conditionalFormatting>
  <conditionalFormatting sqref="R20">
    <cfRule type="expression" dxfId="335" priority="759" stopIfTrue="1">
      <formula>MATCH($R$20,$A$10:$A$29,0)</formula>
    </cfRule>
    <cfRule type="expression" dxfId="334" priority="760" stopIfTrue="1">
      <formula>WEEKDAY($R$20)=1</formula>
    </cfRule>
    <cfRule type="expression" dxfId="333" priority="761" stopIfTrue="1">
      <formula>WEEKDAY($R$20)=7</formula>
    </cfRule>
  </conditionalFormatting>
  <conditionalFormatting sqref="R21">
    <cfRule type="expression" dxfId="332" priority="762" stopIfTrue="1">
      <formula>MATCH($R$21,$A$10:$A$29,0)</formula>
    </cfRule>
    <cfRule type="expression" dxfId="331" priority="763" stopIfTrue="1">
      <formula>WEEKDAY($R$21)=1</formula>
    </cfRule>
    <cfRule type="expression" dxfId="330" priority="764" stopIfTrue="1">
      <formula>WEEKDAY($R$21)=7</formula>
    </cfRule>
  </conditionalFormatting>
  <conditionalFormatting sqref="R22">
    <cfRule type="expression" dxfId="329" priority="766" stopIfTrue="1">
      <formula>WEEKDAY($R$22)=1</formula>
    </cfRule>
    <cfRule type="expression" dxfId="328" priority="765" stopIfTrue="1">
      <formula>MATCH($R$22,$A$10:$A$29,0)</formula>
    </cfRule>
    <cfRule type="expression" dxfId="327" priority="767" stopIfTrue="1">
      <formula>WEEKDAY($R$22)=7</formula>
    </cfRule>
  </conditionalFormatting>
  <conditionalFormatting sqref="R23">
    <cfRule type="expression" dxfId="326" priority="768" stopIfTrue="1">
      <formula>MATCH($R$23,$A$10:$A$29,0)</formula>
    </cfRule>
    <cfRule type="expression" dxfId="325" priority="769" stopIfTrue="1">
      <formula>WEEKDAY($R$23)=1</formula>
    </cfRule>
    <cfRule type="expression" dxfId="324" priority="770" stopIfTrue="1">
      <formula>WEEKDAY($R$23)=7</formula>
    </cfRule>
  </conditionalFormatting>
  <conditionalFormatting sqref="R24">
    <cfRule type="expression" dxfId="323" priority="773" stopIfTrue="1">
      <formula>WEEKDAY($R$24)=7</formula>
    </cfRule>
    <cfRule type="expression" dxfId="322" priority="772" stopIfTrue="1">
      <formula>WEEKDAY($R$24)=1</formula>
    </cfRule>
    <cfRule type="expression" dxfId="321" priority="771" stopIfTrue="1">
      <formula>MATCH($R$24,$A$10:$A$29,0)</formula>
    </cfRule>
  </conditionalFormatting>
  <conditionalFormatting sqref="R25">
    <cfRule type="expression" dxfId="320" priority="776" stopIfTrue="1">
      <formula>WEEKDAY($R$25)=7</formula>
    </cfRule>
    <cfRule type="expression" dxfId="319" priority="775" stopIfTrue="1">
      <formula>WEEKDAY($R$25)=1</formula>
    </cfRule>
    <cfRule type="expression" dxfId="318" priority="774" stopIfTrue="1">
      <formula>MATCH($R$25,$A$10:$A$29,0)</formula>
    </cfRule>
  </conditionalFormatting>
  <conditionalFormatting sqref="R26">
    <cfRule type="expression" dxfId="317" priority="778" stopIfTrue="1">
      <formula>WEEKDAY($R$26)=1</formula>
    </cfRule>
    <cfRule type="expression" dxfId="316" priority="779" stopIfTrue="1">
      <formula>WEEKDAY($R$26)=7</formula>
    </cfRule>
    <cfRule type="expression" dxfId="315" priority="777" stopIfTrue="1">
      <formula>MATCH($R$26,$A$10:$A$29,0)</formula>
    </cfRule>
  </conditionalFormatting>
  <conditionalFormatting sqref="R27">
    <cfRule type="expression" dxfId="314" priority="780" stopIfTrue="1">
      <formula>MATCH($R$27,$A$10:$A$29,0)</formula>
    </cfRule>
    <cfRule type="expression" dxfId="313" priority="781" stopIfTrue="1">
      <formula>WEEKDAY($R$27)=1</formula>
    </cfRule>
    <cfRule type="expression" dxfId="312" priority="782" stopIfTrue="1">
      <formula>WEEKDAY($R$27)=7</formula>
    </cfRule>
  </conditionalFormatting>
  <conditionalFormatting sqref="R28">
    <cfRule type="expression" dxfId="311" priority="783" stopIfTrue="1">
      <formula>MATCH($R$28,$A$10:$A$29,0)</formula>
    </cfRule>
    <cfRule type="expression" dxfId="310" priority="784" stopIfTrue="1">
      <formula>WEEKDAY($R$28)=1</formula>
    </cfRule>
    <cfRule type="expression" dxfId="309" priority="785" stopIfTrue="1">
      <formula>WEEKDAY($R$28)=7</formula>
    </cfRule>
  </conditionalFormatting>
  <conditionalFormatting sqref="R29">
    <cfRule type="expression" dxfId="308" priority="786" stopIfTrue="1">
      <formula>MATCH($R$29,$A$10:$A$29,0)</formula>
    </cfRule>
    <cfRule type="expression" dxfId="307" priority="787" stopIfTrue="1">
      <formula>WEEKDAY($R$29)=1</formula>
    </cfRule>
    <cfRule type="expression" dxfId="306" priority="788" stopIfTrue="1">
      <formula>WEEKDAY($R$29)=7</formula>
    </cfRule>
  </conditionalFormatting>
  <conditionalFormatting sqref="R30">
    <cfRule type="expression" dxfId="305" priority="791" stopIfTrue="1">
      <formula>WEEKDAY($R$30)=7</formula>
    </cfRule>
    <cfRule type="expression" dxfId="304" priority="790" stopIfTrue="1">
      <formula>WEEKDAY($R$30)=1</formula>
    </cfRule>
    <cfRule type="expression" dxfId="303" priority="789" stopIfTrue="1">
      <formula>MATCH($R$30,$A$10:$A$29,0)</formula>
    </cfRule>
  </conditionalFormatting>
  <conditionalFormatting sqref="R31">
    <cfRule type="expression" dxfId="302" priority="794" stopIfTrue="1">
      <formula>WEEKDAY($R$31)=7</formula>
    </cfRule>
    <cfRule type="expression" dxfId="301" priority="792" stopIfTrue="1">
      <formula>MATCH($R$31,$A$10:$A$29,0)</formula>
    </cfRule>
    <cfRule type="expression" dxfId="300" priority="793" stopIfTrue="1">
      <formula>WEEKDAY($R$31)=1</formula>
    </cfRule>
  </conditionalFormatting>
  <conditionalFormatting sqref="R32">
    <cfRule type="expression" dxfId="299" priority="795" stopIfTrue="1">
      <formula>MATCH($R$32,$A$10:$A$29,0)</formula>
    </cfRule>
    <cfRule type="expression" dxfId="298" priority="796" stopIfTrue="1">
      <formula>WEEKDAY($R$32)=1</formula>
    </cfRule>
    <cfRule type="expression" dxfId="297" priority="797" stopIfTrue="1">
      <formula>WEEKDAY($R$32)=7</formula>
    </cfRule>
  </conditionalFormatting>
  <conditionalFormatting sqref="R33">
    <cfRule type="expression" dxfId="296" priority="798" stopIfTrue="1">
      <formula>MATCH($R$33,$A$10:$A$29,0)</formula>
    </cfRule>
    <cfRule type="expression" dxfId="295" priority="800" stopIfTrue="1">
      <formula>WEEKDAY($R$33)=7</formula>
    </cfRule>
    <cfRule type="expression" dxfId="294" priority="799" stopIfTrue="1">
      <formula>WEEKDAY($R$33)=1</formula>
    </cfRule>
  </conditionalFormatting>
  <conditionalFormatting sqref="R34">
    <cfRule type="expression" dxfId="293" priority="802" stopIfTrue="1">
      <formula>WEEKDAY($R$34)=1</formula>
    </cfRule>
    <cfRule type="expression" dxfId="292" priority="803" stopIfTrue="1">
      <formula>WEEKDAY($R$34)=7</formula>
    </cfRule>
    <cfRule type="expression" dxfId="291" priority="801" stopIfTrue="1">
      <formula>MATCH($R$34,$A$10:$A$29,0)</formula>
    </cfRule>
  </conditionalFormatting>
  <conditionalFormatting sqref="R35">
    <cfRule type="expression" dxfId="290" priority="804" stopIfTrue="1">
      <formula>MATCH($R$35,$A$10:$A$29,0)</formula>
    </cfRule>
    <cfRule type="expression" dxfId="289" priority="805" stopIfTrue="1">
      <formula>WEEKDAY($R$35)=1</formula>
    </cfRule>
    <cfRule type="expression" dxfId="288" priority="806" stopIfTrue="1">
      <formula>WEEKDAY($R$35)=7</formula>
    </cfRule>
  </conditionalFormatting>
  <conditionalFormatting sqref="R36">
    <cfRule type="expression" dxfId="287" priority="807" stopIfTrue="1">
      <formula>MATCH($R$36,$A$10:$A$29,0)</formula>
    </cfRule>
    <cfRule type="expression" dxfId="286" priority="808" stopIfTrue="1">
      <formula>WEEKDAY($R$36)=1</formula>
    </cfRule>
    <cfRule type="expression" dxfId="285" priority="809" stopIfTrue="1">
      <formula>WEEKDAY($R$36)=7</formula>
    </cfRule>
  </conditionalFormatting>
  <conditionalFormatting sqref="R37">
    <cfRule type="expression" dxfId="284" priority="810" stopIfTrue="1">
      <formula>MATCH($R$37,$A$10:$A$29,0)</formula>
    </cfRule>
    <cfRule type="expression" dxfId="283" priority="811" stopIfTrue="1">
      <formula>WEEKDAY($R$37)=1</formula>
    </cfRule>
    <cfRule type="expression" dxfId="282" priority="812" stopIfTrue="1">
      <formula>WEEKDAY($R$37)=7</formula>
    </cfRule>
  </conditionalFormatting>
  <conditionalFormatting sqref="R38">
    <cfRule type="expression" dxfId="281" priority="813" stopIfTrue="1">
      <formula>MATCH($R$38,$A$10:$A$29,0)</formula>
    </cfRule>
    <cfRule type="expression" dxfId="280" priority="814" stopIfTrue="1">
      <formula>WEEKDAY($R$38)=1</formula>
    </cfRule>
    <cfRule type="expression" dxfId="279" priority="815" stopIfTrue="1">
      <formula>WEEKDAY($R$38)=7</formula>
    </cfRule>
  </conditionalFormatting>
  <conditionalFormatting sqref="R39">
    <cfRule type="expression" dxfId="278" priority="816" stopIfTrue="1">
      <formula>MATCH($R$39,$A$10:$A$29,0)</formula>
    </cfRule>
    <cfRule type="expression" dxfId="277" priority="818" stopIfTrue="1">
      <formula>WEEKDAY($R$39)=7</formula>
    </cfRule>
    <cfRule type="expression" dxfId="276" priority="817" stopIfTrue="1">
      <formula>WEEKDAY($R$39)=1</formula>
    </cfRule>
  </conditionalFormatting>
  <conditionalFormatting sqref="T10">
    <cfRule type="expression" dxfId="275" priority="820" stopIfTrue="1">
      <formula>WEEKDAY($T$10)=1</formula>
    </cfRule>
    <cfRule type="expression" dxfId="274" priority="821" stopIfTrue="1">
      <formula>WEEKDAY($T$10)=7</formula>
    </cfRule>
    <cfRule type="expression" dxfId="273" priority="819" stopIfTrue="1">
      <formula>MATCH($T$10,$A$10:$A$29,0)</formula>
    </cfRule>
  </conditionalFormatting>
  <conditionalFormatting sqref="T11">
    <cfRule type="expression" dxfId="272" priority="822" stopIfTrue="1">
      <formula>MATCH($T$11,$A$10:$A$29,0)</formula>
    </cfRule>
    <cfRule type="expression" dxfId="271" priority="823" stopIfTrue="1">
      <formula>WEEKDAY($T$11)=1</formula>
    </cfRule>
    <cfRule type="expression" dxfId="270" priority="824" stopIfTrue="1">
      <formula>WEEKDAY($T$11)=7</formula>
    </cfRule>
  </conditionalFormatting>
  <conditionalFormatting sqref="T12">
    <cfRule type="expression" dxfId="269" priority="825" stopIfTrue="1">
      <formula>MATCH($T$12,$A$10:$A$29,0)</formula>
    </cfRule>
    <cfRule type="expression" dxfId="268" priority="827" stopIfTrue="1">
      <formula>WEEKDAY($T$12)=7</formula>
    </cfRule>
    <cfRule type="expression" dxfId="267" priority="826" stopIfTrue="1">
      <formula>WEEKDAY($T$12)=1</formula>
    </cfRule>
  </conditionalFormatting>
  <conditionalFormatting sqref="T13">
    <cfRule type="expression" dxfId="266" priority="828" stopIfTrue="1">
      <formula>MATCH($T$13,$A$10:$A$29,0)</formula>
    </cfRule>
    <cfRule type="expression" dxfId="265" priority="829" stopIfTrue="1">
      <formula>WEEKDAY($T$13)=1</formula>
    </cfRule>
    <cfRule type="expression" dxfId="264" priority="830" stopIfTrue="1">
      <formula>WEEKDAY($T$13)=7</formula>
    </cfRule>
  </conditionalFormatting>
  <conditionalFormatting sqref="T14">
    <cfRule type="expression" dxfId="263" priority="833" stopIfTrue="1">
      <formula>WEEKDAY($T$14)=7</formula>
    </cfRule>
    <cfRule type="expression" dxfId="262" priority="832" stopIfTrue="1">
      <formula>WEEKDAY($T$14)=1</formula>
    </cfRule>
    <cfRule type="expression" dxfId="261" priority="831" stopIfTrue="1">
      <formula>MATCH($T$14,$A$10:$A$29,0)</formula>
    </cfRule>
  </conditionalFormatting>
  <conditionalFormatting sqref="T15">
    <cfRule type="expression" dxfId="260" priority="836" stopIfTrue="1">
      <formula>WEEKDAY($T$15)=7</formula>
    </cfRule>
    <cfRule type="expression" dxfId="259" priority="835" stopIfTrue="1">
      <formula>WEEKDAY($T$15)=1</formula>
    </cfRule>
    <cfRule type="expression" dxfId="258" priority="834" stopIfTrue="1">
      <formula>MATCH($T$15,$A$10:$A$29,0)</formula>
    </cfRule>
  </conditionalFormatting>
  <conditionalFormatting sqref="T16">
    <cfRule type="expression" dxfId="257" priority="837" stopIfTrue="1">
      <formula>MATCH($T$16,$A$10:$A$29,0)</formula>
    </cfRule>
    <cfRule type="expression" dxfId="256" priority="838" stopIfTrue="1">
      <formula>WEEKDAY($T$16)=1</formula>
    </cfRule>
    <cfRule type="expression" dxfId="255" priority="839" stopIfTrue="1">
      <formula>WEEKDAY($T$16)=7</formula>
    </cfRule>
  </conditionalFormatting>
  <conditionalFormatting sqref="T17">
    <cfRule type="expression" dxfId="254" priority="840" stopIfTrue="1">
      <formula>MATCH($T$17,$A$10:$A$29,0)</formula>
    </cfRule>
    <cfRule type="expression" dxfId="253" priority="841" stopIfTrue="1">
      <formula>WEEKDAY($T$17)=1</formula>
    </cfRule>
    <cfRule type="expression" dxfId="252" priority="842" stopIfTrue="1">
      <formula>WEEKDAY($T$17)=7</formula>
    </cfRule>
  </conditionalFormatting>
  <conditionalFormatting sqref="T18">
    <cfRule type="expression" dxfId="251" priority="843" stopIfTrue="1">
      <formula>MATCH($T$18,$A$10:$A$29,0)</formula>
    </cfRule>
    <cfRule type="expression" dxfId="250" priority="844" stopIfTrue="1">
      <formula>WEEKDAY($T$18)=1</formula>
    </cfRule>
    <cfRule type="expression" dxfId="249" priority="845" stopIfTrue="1">
      <formula>WEEKDAY($T$18)=7</formula>
    </cfRule>
  </conditionalFormatting>
  <conditionalFormatting sqref="T19">
    <cfRule type="expression" dxfId="248" priority="846" stopIfTrue="1">
      <formula>MATCH($T$19,$A$10:$A$29,0)</formula>
    </cfRule>
    <cfRule type="expression" dxfId="247" priority="847" stopIfTrue="1">
      <formula>WEEKDAY($T$19)=1</formula>
    </cfRule>
    <cfRule type="expression" dxfId="246" priority="848" stopIfTrue="1">
      <formula>WEEKDAY($T$19)=7</formula>
    </cfRule>
  </conditionalFormatting>
  <conditionalFormatting sqref="T20">
    <cfRule type="expression" dxfId="245" priority="849" stopIfTrue="1">
      <formula>MATCH($T$20,$A$10:$A$29,0)</formula>
    </cfRule>
    <cfRule type="expression" dxfId="244" priority="850" stopIfTrue="1">
      <formula>WEEKDAY($T$20)=1</formula>
    </cfRule>
    <cfRule type="expression" dxfId="243" priority="851" stopIfTrue="1">
      <formula>WEEKDAY($T$20)=7</formula>
    </cfRule>
  </conditionalFormatting>
  <conditionalFormatting sqref="T21">
    <cfRule type="expression" dxfId="242" priority="852" stopIfTrue="1">
      <formula>MATCH($T$21,$A$10:$A$29,0)</formula>
    </cfRule>
    <cfRule type="expression" dxfId="241" priority="854" stopIfTrue="1">
      <formula>WEEKDAY($T$21)=7</formula>
    </cfRule>
    <cfRule type="expression" dxfId="240" priority="853" stopIfTrue="1">
      <formula>WEEKDAY($T$21)=1</formula>
    </cfRule>
  </conditionalFormatting>
  <conditionalFormatting sqref="T22">
    <cfRule type="expression" dxfId="239" priority="857" stopIfTrue="1">
      <formula>WEEKDAY($T$22)=7</formula>
    </cfRule>
    <cfRule type="expression" dxfId="238" priority="856" stopIfTrue="1">
      <formula>WEEKDAY($T$22)=1</formula>
    </cfRule>
    <cfRule type="expression" dxfId="237" priority="855" stopIfTrue="1">
      <formula>MATCH($T$22,$A$10:$A$29,0)</formula>
    </cfRule>
  </conditionalFormatting>
  <conditionalFormatting sqref="T23">
    <cfRule type="expression" dxfId="236" priority="859" stopIfTrue="1">
      <formula>WEEKDAY($T$23)=1</formula>
    </cfRule>
    <cfRule type="expression" dxfId="235" priority="860" stopIfTrue="1">
      <formula>WEEKDAY($T$23)=7</formula>
    </cfRule>
    <cfRule type="expression" dxfId="234" priority="858" stopIfTrue="1">
      <formula>MATCH($T$23,$A$10:$A$29,0)</formula>
    </cfRule>
  </conditionalFormatting>
  <conditionalFormatting sqref="T24">
    <cfRule type="expression" dxfId="233" priority="861" stopIfTrue="1">
      <formula>MATCH($T$24,$A$10:$A$29,0)</formula>
    </cfRule>
    <cfRule type="expression" dxfId="232" priority="862" stopIfTrue="1">
      <formula>WEEKDAY($T$24)=1</formula>
    </cfRule>
    <cfRule type="expression" dxfId="231" priority="863" stopIfTrue="1">
      <formula>WEEKDAY($T$24)=7</formula>
    </cfRule>
  </conditionalFormatting>
  <conditionalFormatting sqref="T25">
    <cfRule type="expression" dxfId="230" priority="864" stopIfTrue="1">
      <formula>MATCH($T$25,$A$10:$A$29,0)</formula>
    </cfRule>
    <cfRule type="expression" dxfId="229" priority="865" stopIfTrue="1">
      <formula>WEEKDAY($T$25)=1</formula>
    </cfRule>
    <cfRule type="expression" dxfId="228" priority="866" stopIfTrue="1">
      <formula>WEEKDAY($T$25)=7</formula>
    </cfRule>
  </conditionalFormatting>
  <conditionalFormatting sqref="T26">
    <cfRule type="expression" dxfId="227" priority="867" stopIfTrue="1">
      <formula>MATCH($T$26,$A$10:$A$29,0)</formula>
    </cfRule>
    <cfRule type="expression" dxfId="226" priority="869" stopIfTrue="1">
      <formula>WEEKDAY($T$26)=7</formula>
    </cfRule>
    <cfRule type="expression" dxfId="225" priority="868" stopIfTrue="1">
      <formula>WEEKDAY($T$26)=1</formula>
    </cfRule>
  </conditionalFormatting>
  <conditionalFormatting sqref="T27">
    <cfRule type="expression" dxfId="224" priority="870" stopIfTrue="1">
      <formula>MATCH($T$27,$A$10:$A$29,0)</formula>
    </cfRule>
    <cfRule type="expression" dxfId="223" priority="871" stopIfTrue="1">
      <formula>WEEKDAY($T$27)=1</formula>
    </cfRule>
    <cfRule type="expression" dxfId="222" priority="872" stopIfTrue="1">
      <formula>WEEKDAY($T$27)=7</formula>
    </cfRule>
  </conditionalFormatting>
  <conditionalFormatting sqref="T28">
    <cfRule type="expression" dxfId="221" priority="873" stopIfTrue="1">
      <formula>MATCH($T$28,$A$10:$A$29,0)</formula>
    </cfRule>
    <cfRule type="expression" dxfId="220" priority="874" stopIfTrue="1">
      <formula>WEEKDAY($T$28)=1</formula>
    </cfRule>
    <cfRule type="expression" dxfId="219" priority="875" stopIfTrue="1">
      <formula>WEEKDAY($T$28)=7</formula>
    </cfRule>
  </conditionalFormatting>
  <conditionalFormatting sqref="T29">
    <cfRule type="expression" dxfId="218" priority="876" stopIfTrue="1">
      <formula>MATCH($T$29,$A$10:$A$29,0)</formula>
    </cfRule>
    <cfRule type="expression" dxfId="217" priority="877" stopIfTrue="1">
      <formula>WEEKDAY($T$29)=1</formula>
    </cfRule>
    <cfRule type="expression" dxfId="216" priority="878" stopIfTrue="1">
      <formula>WEEKDAY($T$29)=7</formula>
    </cfRule>
  </conditionalFormatting>
  <conditionalFormatting sqref="T30">
    <cfRule type="expression" dxfId="215" priority="879" stopIfTrue="1">
      <formula>MATCH($T$30,$A$10:$A$29,0)</formula>
    </cfRule>
    <cfRule type="expression" dxfId="214" priority="880" stopIfTrue="1">
      <formula>WEEKDAY($T$30)=1</formula>
    </cfRule>
    <cfRule type="expression" dxfId="213" priority="881" stopIfTrue="1">
      <formula>WEEKDAY($T$30)=7</formula>
    </cfRule>
  </conditionalFormatting>
  <conditionalFormatting sqref="T31">
    <cfRule type="expression" dxfId="212" priority="882" stopIfTrue="1">
      <formula>MATCH($T$31,$A$10:$A$29,0)</formula>
    </cfRule>
    <cfRule type="expression" dxfId="211" priority="883" stopIfTrue="1">
      <formula>WEEKDAY($T$31)=1</formula>
    </cfRule>
    <cfRule type="expression" dxfId="210" priority="884" stopIfTrue="1">
      <formula>WEEKDAY($T$31)=7</formula>
    </cfRule>
  </conditionalFormatting>
  <conditionalFormatting sqref="T32">
    <cfRule type="expression" dxfId="209" priority="885" stopIfTrue="1">
      <formula>MATCH($T$32,$A$10:$A$29,0)</formula>
    </cfRule>
    <cfRule type="expression" dxfId="208" priority="886" stopIfTrue="1">
      <formula>WEEKDAY($T$32)=1</formula>
    </cfRule>
    <cfRule type="expression" dxfId="207" priority="887" stopIfTrue="1">
      <formula>WEEKDAY($T$32)=7</formula>
    </cfRule>
  </conditionalFormatting>
  <conditionalFormatting sqref="T33">
    <cfRule type="expression" dxfId="206" priority="888" stopIfTrue="1">
      <formula>MATCH($T$33,$A$10:$A$29,0)</formula>
    </cfRule>
    <cfRule type="expression" dxfId="205" priority="889" stopIfTrue="1">
      <formula>WEEKDAY($T$33)=1</formula>
    </cfRule>
    <cfRule type="expression" dxfId="204" priority="890" stopIfTrue="1">
      <formula>WEEKDAY($T$33)=7</formula>
    </cfRule>
  </conditionalFormatting>
  <conditionalFormatting sqref="T34">
    <cfRule type="expression" dxfId="203" priority="891" stopIfTrue="1">
      <formula>MATCH($T$34,$A$10:$A$29,0)</formula>
    </cfRule>
    <cfRule type="expression" dxfId="202" priority="892" stopIfTrue="1">
      <formula>WEEKDAY($T$34)=1</formula>
    </cfRule>
    <cfRule type="expression" dxfId="201" priority="893" stopIfTrue="1">
      <formula>WEEKDAY($T$34)=7</formula>
    </cfRule>
  </conditionalFormatting>
  <conditionalFormatting sqref="T35">
    <cfRule type="expression" dxfId="200" priority="894" stopIfTrue="1">
      <formula>MATCH($T$35,$A$10:$A$29,0)</formula>
    </cfRule>
    <cfRule type="expression" dxfId="199" priority="895" stopIfTrue="1">
      <formula>WEEKDAY($T$35)=1</formula>
    </cfRule>
    <cfRule type="expression" dxfId="198" priority="896" stopIfTrue="1">
      <formula>WEEKDAY($T$35)=7</formula>
    </cfRule>
  </conditionalFormatting>
  <conditionalFormatting sqref="T36">
    <cfRule type="expression" dxfId="197" priority="897" stopIfTrue="1">
      <formula>MATCH($T$36,$A$10:$A$29,0)</formula>
    </cfRule>
    <cfRule type="expression" dxfId="196" priority="898" stopIfTrue="1">
      <formula>WEEKDAY($T$36)=1</formula>
    </cfRule>
    <cfRule type="expression" dxfId="195" priority="899" stopIfTrue="1">
      <formula>WEEKDAY($T$36)=7</formula>
    </cfRule>
  </conditionalFormatting>
  <conditionalFormatting sqref="T37">
    <cfRule type="expression" dxfId="194" priority="900" stopIfTrue="1">
      <formula>MATCH($T$37,$A$10:$A$29,0)</formula>
    </cfRule>
    <cfRule type="expression" dxfId="193" priority="901" stopIfTrue="1">
      <formula>WEEKDAY($T$37)=1</formula>
    </cfRule>
    <cfRule type="expression" dxfId="192" priority="902" stopIfTrue="1">
      <formula>WEEKDAY($T$37)=7</formula>
    </cfRule>
  </conditionalFormatting>
  <conditionalFormatting sqref="T38">
    <cfRule type="expression" dxfId="191" priority="903" stopIfTrue="1">
      <formula>MATCH($T$38,$A$10:$A$29,0)</formula>
    </cfRule>
    <cfRule type="expression" dxfId="190" priority="904" stopIfTrue="1">
      <formula>WEEKDAY($T$38)=1</formula>
    </cfRule>
    <cfRule type="expression" dxfId="189" priority="905" stopIfTrue="1">
      <formula>WEEKDAY($T$38)=7</formula>
    </cfRule>
  </conditionalFormatting>
  <conditionalFormatting sqref="T39">
    <cfRule type="expression" dxfId="188" priority="906" stopIfTrue="1">
      <formula>MATCH($T$39,$A$10:$A$29,0)</formula>
    </cfRule>
    <cfRule type="expression" dxfId="187" priority="907" stopIfTrue="1">
      <formula>WEEKDAY($T$39)=1</formula>
    </cfRule>
    <cfRule type="expression" dxfId="186" priority="908" stopIfTrue="1">
      <formula>WEEKDAY($T$39)=7</formula>
    </cfRule>
  </conditionalFormatting>
  <conditionalFormatting sqref="T40">
    <cfRule type="expression" dxfId="185" priority="910" stopIfTrue="1">
      <formula>WEEKDAY($T$40)=1</formula>
    </cfRule>
    <cfRule type="expression" dxfId="184" priority="909" stopIfTrue="1">
      <formula>MATCH($T$40,$A$10:$A$29,0)</formula>
    </cfRule>
    <cfRule type="expression" dxfId="183" priority="911" stopIfTrue="1">
      <formula>WEEKDAY($T$40)=7</formula>
    </cfRule>
  </conditionalFormatting>
  <conditionalFormatting sqref="V10">
    <cfRule type="expression" dxfId="182" priority="914" stopIfTrue="1">
      <formula>WEEKDAY($V$10)=7</formula>
    </cfRule>
    <cfRule type="expression" dxfId="181" priority="913" stopIfTrue="1">
      <formula>WEEKDAY($V$10)=1</formula>
    </cfRule>
    <cfRule type="expression" dxfId="180" priority="912" stopIfTrue="1">
      <formula>MATCH($V$10,$A$10:$A$29,0)</formula>
    </cfRule>
  </conditionalFormatting>
  <conditionalFormatting sqref="V11">
    <cfRule type="expression" dxfId="179" priority="916" stopIfTrue="1">
      <formula>WEEKDAY($V$11)=1</formula>
    </cfRule>
    <cfRule type="expression" dxfId="178" priority="917" stopIfTrue="1">
      <formula>WEEKDAY($V$11)=7</formula>
    </cfRule>
    <cfRule type="expression" dxfId="177" priority="915" stopIfTrue="1">
      <formula>MATCH($V$11,$A$10:$A$29,0)</formula>
    </cfRule>
  </conditionalFormatting>
  <conditionalFormatting sqref="V12">
    <cfRule type="expression" dxfId="176" priority="918" stopIfTrue="1">
      <formula>MATCH($V$12,$A$10:$A$29,0)</formula>
    </cfRule>
    <cfRule type="expression" dxfId="175" priority="919" stopIfTrue="1">
      <formula>WEEKDAY($V$12)=1</formula>
    </cfRule>
    <cfRule type="expression" dxfId="174" priority="920" stopIfTrue="1">
      <formula>WEEKDAY($V$12)=7</formula>
    </cfRule>
  </conditionalFormatting>
  <conditionalFormatting sqref="V13">
    <cfRule type="expression" dxfId="173" priority="921" stopIfTrue="1">
      <formula>MATCH($V$13,$A$10:$A$29,0)</formula>
    </cfRule>
    <cfRule type="expression" dxfId="172" priority="922" stopIfTrue="1">
      <formula>WEEKDAY($V$13)=1</formula>
    </cfRule>
    <cfRule type="expression" dxfId="171" priority="923" stopIfTrue="1">
      <formula>WEEKDAY($V$13)=7</formula>
    </cfRule>
  </conditionalFormatting>
  <conditionalFormatting sqref="V14">
    <cfRule type="expression" dxfId="170" priority="924" stopIfTrue="1">
      <formula>MATCH($V$14,$A$10:$A$29,0)</formula>
    </cfRule>
    <cfRule type="expression" dxfId="169" priority="925" stopIfTrue="1">
      <formula>WEEKDAY($V$14)=1</formula>
    </cfRule>
    <cfRule type="expression" dxfId="168" priority="926" stopIfTrue="1">
      <formula>WEEKDAY($V$14)=7</formula>
    </cfRule>
  </conditionalFormatting>
  <conditionalFormatting sqref="V15">
    <cfRule type="expression" dxfId="167" priority="927" stopIfTrue="1">
      <formula>MATCH($V$15,$A$10:$A$29,0)</formula>
    </cfRule>
    <cfRule type="expression" dxfId="166" priority="929" stopIfTrue="1">
      <formula>WEEKDAY($V$15)=7</formula>
    </cfRule>
    <cfRule type="expression" dxfId="165" priority="928" stopIfTrue="1">
      <formula>WEEKDAY($V$15)=1</formula>
    </cfRule>
  </conditionalFormatting>
  <conditionalFormatting sqref="V16">
    <cfRule type="expression" dxfId="164" priority="932" stopIfTrue="1">
      <formula>WEEKDAY($V$16)=7</formula>
    </cfRule>
    <cfRule type="expression" dxfId="163" priority="931" stopIfTrue="1">
      <formula>WEEKDAY($V$16)=1</formula>
    </cfRule>
    <cfRule type="expression" dxfId="162" priority="930" stopIfTrue="1">
      <formula>MATCH($V$16,$A$10:$A$29,0)</formula>
    </cfRule>
  </conditionalFormatting>
  <conditionalFormatting sqref="V17">
    <cfRule type="expression" dxfId="161" priority="934" stopIfTrue="1">
      <formula>WEEKDAY($V$17)=1</formula>
    </cfRule>
    <cfRule type="expression" dxfId="160" priority="935" stopIfTrue="1">
      <formula>WEEKDAY($V$17)=7</formula>
    </cfRule>
    <cfRule type="expression" dxfId="159" priority="933" stopIfTrue="1">
      <formula>MATCH($V$17,$A$10:$A$29,0)</formula>
    </cfRule>
  </conditionalFormatting>
  <conditionalFormatting sqref="V18">
    <cfRule type="expression" dxfId="158" priority="936" stopIfTrue="1">
      <formula>MATCH($V$18,$A$10:$A$29,0)</formula>
    </cfRule>
    <cfRule type="expression" dxfId="157" priority="937" stopIfTrue="1">
      <formula>WEEKDAY($V$18)=1</formula>
    </cfRule>
    <cfRule type="expression" dxfId="156" priority="938" stopIfTrue="1">
      <formula>WEEKDAY($V$18)=7</formula>
    </cfRule>
  </conditionalFormatting>
  <conditionalFormatting sqref="V19">
    <cfRule type="expression" dxfId="155" priority="939" stopIfTrue="1">
      <formula>MATCH($V$19,$A$10:$A$29,0)</formula>
    </cfRule>
    <cfRule type="expression" dxfId="154" priority="941" stopIfTrue="1">
      <formula>WEEKDAY($V$19)=7</formula>
    </cfRule>
    <cfRule type="expression" dxfId="153" priority="940" stopIfTrue="1">
      <formula>WEEKDAY($V$19)=1</formula>
    </cfRule>
  </conditionalFormatting>
  <conditionalFormatting sqref="V20">
    <cfRule type="expression" dxfId="152" priority="942" stopIfTrue="1">
      <formula>MATCH($V$20,$A$10:$A$29,0)</formula>
    </cfRule>
    <cfRule type="expression" dxfId="151" priority="943" stopIfTrue="1">
      <formula>WEEKDAY($V$20)=1</formula>
    </cfRule>
    <cfRule type="expression" dxfId="150" priority="944" stopIfTrue="1">
      <formula>WEEKDAY($V$20)=7</formula>
    </cfRule>
  </conditionalFormatting>
  <conditionalFormatting sqref="V21">
    <cfRule type="expression" dxfId="149" priority="945" stopIfTrue="1">
      <formula>MATCH($V$21,$A$10:$A$29,0)</formula>
    </cfRule>
    <cfRule type="expression" dxfId="148" priority="946" stopIfTrue="1">
      <formula>WEEKDAY($V$21)=1</formula>
    </cfRule>
    <cfRule type="expression" dxfId="147" priority="947" stopIfTrue="1">
      <formula>WEEKDAY($V$21)=7</formula>
    </cfRule>
  </conditionalFormatting>
  <conditionalFormatting sqref="V22">
    <cfRule type="expression" dxfId="146" priority="948" stopIfTrue="1">
      <formula>MATCH($V$22,$A$10:$A$29,0)</formula>
    </cfRule>
    <cfRule type="expression" dxfId="145" priority="949" stopIfTrue="1">
      <formula>WEEKDAY($V$22)=1</formula>
    </cfRule>
    <cfRule type="expression" dxfId="144" priority="950" stopIfTrue="1">
      <formula>WEEKDAY($V$22)=7</formula>
    </cfRule>
  </conditionalFormatting>
  <conditionalFormatting sqref="V23">
    <cfRule type="expression" dxfId="143" priority="951" stopIfTrue="1">
      <formula>MATCH($V$23,$A$10:$A$29,0)</formula>
    </cfRule>
    <cfRule type="expression" dxfId="142" priority="952" stopIfTrue="1">
      <formula>WEEKDAY($V$23)=1</formula>
    </cfRule>
    <cfRule type="expression" dxfId="141" priority="953" stopIfTrue="1">
      <formula>WEEKDAY($V$23)=7</formula>
    </cfRule>
  </conditionalFormatting>
  <conditionalFormatting sqref="V24">
    <cfRule type="expression" dxfId="140" priority="954" stopIfTrue="1">
      <formula>MATCH($V$24,$A$10:$A$29,0)</formula>
    </cfRule>
    <cfRule type="expression" dxfId="139" priority="955" stopIfTrue="1">
      <formula>WEEKDAY($V$24)=1</formula>
    </cfRule>
    <cfRule type="expression" dxfId="138" priority="956" stopIfTrue="1">
      <formula>WEEKDAY($V$24)=7</formula>
    </cfRule>
  </conditionalFormatting>
  <conditionalFormatting sqref="V25">
    <cfRule type="expression" dxfId="137" priority="958" stopIfTrue="1">
      <formula>WEEKDAY($V$25)=1</formula>
    </cfRule>
    <cfRule type="expression" dxfId="136" priority="959" stopIfTrue="1">
      <formula>WEEKDAY($V$25)=7</formula>
    </cfRule>
    <cfRule type="expression" dxfId="135" priority="957" stopIfTrue="1">
      <formula>MATCH($V$25,$A$10:$A$29,0)</formula>
    </cfRule>
  </conditionalFormatting>
  <conditionalFormatting sqref="V26">
    <cfRule type="expression" dxfId="134" priority="961" stopIfTrue="1">
      <formula>WEEKDAY($V$26)=1</formula>
    </cfRule>
    <cfRule type="expression" dxfId="133" priority="962" stopIfTrue="1">
      <formula>WEEKDAY($V$26)=7</formula>
    </cfRule>
    <cfRule type="expression" dxfId="132" priority="960" stopIfTrue="1">
      <formula>MATCH($V$26,$A$10:$A$29,0)</formula>
    </cfRule>
  </conditionalFormatting>
  <conditionalFormatting sqref="V27">
    <cfRule type="expression" dxfId="131" priority="963" stopIfTrue="1">
      <formula>MATCH($V$27,$A$10:$A$29,0)</formula>
    </cfRule>
    <cfRule type="expression" dxfId="130" priority="964" stopIfTrue="1">
      <formula>WEEKDAY($V$27)=1</formula>
    </cfRule>
    <cfRule type="expression" dxfId="129" priority="965" stopIfTrue="1">
      <formula>WEEKDAY($V$27)=7</formula>
    </cfRule>
  </conditionalFormatting>
  <conditionalFormatting sqref="V28">
    <cfRule type="expression" dxfId="128" priority="966" stopIfTrue="1">
      <formula>MATCH($V$28,$A$10:$A$29,0)</formula>
    </cfRule>
    <cfRule type="expression" dxfId="127" priority="968" stopIfTrue="1">
      <formula>WEEKDAY($V$28)=7</formula>
    </cfRule>
    <cfRule type="expression" dxfId="126" priority="967" stopIfTrue="1">
      <formula>WEEKDAY($V$28)=1</formula>
    </cfRule>
  </conditionalFormatting>
  <conditionalFormatting sqref="V29">
    <cfRule type="expression" dxfId="125" priority="969" stopIfTrue="1">
      <formula>MATCH($V$29,$A$10:$A$29,0)</formula>
    </cfRule>
    <cfRule type="expression" dxfId="124" priority="970" stopIfTrue="1">
      <formula>WEEKDAY($V$29)=1</formula>
    </cfRule>
    <cfRule type="expression" dxfId="123" priority="971" stopIfTrue="1">
      <formula>WEEKDAY($V$29)=7</formula>
    </cfRule>
  </conditionalFormatting>
  <conditionalFormatting sqref="V30">
    <cfRule type="expression" dxfId="122" priority="973" stopIfTrue="1">
      <formula>WEEKDAY($V$30)=1</formula>
    </cfRule>
    <cfRule type="expression" dxfId="121" priority="972" stopIfTrue="1">
      <formula>MATCH($V$30,$A$10:$A$29,0)</formula>
    </cfRule>
    <cfRule type="expression" dxfId="120" priority="974" stopIfTrue="1">
      <formula>WEEKDAY($V$30)=7</formula>
    </cfRule>
  </conditionalFormatting>
  <conditionalFormatting sqref="V31">
    <cfRule type="expression" dxfId="119" priority="976" stopIfTrue="1">
      <formula>WEEKDAY($V$31)=1</formula>
    </cfRule>
    <cfRule type="expression" dxfId="118" priority="977" stopIfTrue="1">
      <formula>WEEKDAY($V$31)=7</formula>
    </cfRule>
    <cfRule type="expression" dxfId="117" priority="975" stopIfTrue="1">
      <formula>MATCH($V$31,$A$10:$A$29,0)</formula>
    </cfRule>
  </conditionalFormatting>
  <conditionalFormatting sqref="V32">
    <cfRule type="expression" dxfId="116" priority="979" stopIfTrue="1">
      <formula>WEEKDAY($V$32)=1</formula>
    </cfRule>
    <cfRule type="expression" dxfId="115" priority="980" stopIfTrue="1">
      <formula>WEEKDAY($V$32)=7</formula>
    </cfRule>
    <cfRule type="expression" dxfId="114" priority="978" stopIfTrue="1">
      <formula>MATCH($V$32,$A$10:$A$29,0)</formula>
    </cfRule>
  </conditionalFormatting>
  <conditionalFormatting sqref="V33">
    <cfRule type="expression" dxfId="113" priority="981" stopIfTrue="1">
      <formula>MATCH($V$33,$A$10:$A$29,0)</formula>
    </cfRule>
    <cfRule type="expression" dxfId="112" priority="982" stopIfTrue="1">
      <formula>WEEKDAY($V$33)=1</formula>
    </cfRule>
    <cfRule type="expression" dxfId="111" priority="983" stopIfTrue="1">
      <formula>WEEKDAY($V$33)=7</formula>
    </cfRule>
  </conditionalFormatting>
  <conditionalFormatting sqref="V34">
    <cfRule type="expression" dxfId="110" priority="984" stopIfTrue="1">
      <formula>MATCH($V$34,$A$10:$A$29,0)</formula>
    </cfRule>
    <cfRule type="expression" dxfId="109" priority="985" stopIfTrue="1">
      <formula>WEEKDAY($V$34)=1</formula>
    </cfRule>
    <cfRule type="expression" dxfId="108" priority="986" stopIfTrue="1">
      <formula>WEEKDAY($V$34)=7</formula>
    </cfRule>
  </conditionalFormatting>
  <conditionalFormatting sqref="V35">
    <cfRule type="expression" dxfId="107" priority="987" stopIfTrue="1">
      <formula>MATCH($V$35,$A$10:$A$29,0)</formula>
    </cfRule>
    <cfRule type="expression" dxfId="106" priority="988" stopIfTrue="1">
      <formula>WEEKDAY($V$35)=1</formula>
    </cfRule>
    <cfRule type="expression" dxfId="105" priority="989" stopIfTrue="1">
      <formula>WEEKDAY($V$35)=7</formula>
    </cfRule>
  </conditionalFormatting>
  <conditionalFormatting sqref="V36">
    <cfRule type="expression" dxfId="104" priority="990" stopIfTrue="1">
      <formula>MATCH($V$36,$A$10:$A$29,0)</formula>
    </cfRule>
    <cfRule type="expression" dxfId="103" priority="991" stopIfTrue="1">
      <formula>WEEKDAY($V$36)=1</formula>
    </cfRule>
    <cfRule type="expression" dxfId="102" priority="992" stopIfTrue="1">
      <formula>WEEKDAY($V$36)=7</formula>
    </cfRule>
  </conditionalFormatting>
  <conditionalFormatting sqref="V37">
    <cfRule type="expression" dxfId="101" priority="995" stopIfTrue="1">
      <formula>WEEKDAY($V$37)=7</formula>
    </cfRule>
    <cfRule type="expression" dxfId="100" priority="994" stopIfTrue="1">
      <formula>WEEKDAY($V$37)=1</formula>
    </cfRule>
    <cfRule type="expression" dxfId="99" priority="993" stopIfTrue="1">
      <formula>MATCH($V$37,$A$10:$A$29,0)</formula>
    </cfRule>
  </conditionalFormatting>
  <conditionalFormatting sqref="V38">
    <cfRule type="expression" dxfId="98" priority="998" stopIfTrue="1">
      <formula>WEEKDAY($V$38)=7</formula>
    </cfRule>
    <cfRule type="expression" dxfId="97" priority="996" stopIfTrue="1">
      <formula>MATCH($V$38,$A$10:$A$29,0)</formula>
    </cfRule>
    <cfRule type="expression" dxfId="96" priority="997" stopIfTrue="1">
      <formula>WEEKDAY($V$38)=1</formula>
    </cfRule>
  </conditionalFormatting>
  <conditionalFormatting sqref="V39">
    <cfRule type="expression" dxfId="95" priority="999" stopIfTrue="1">
      <formula>MATCH($V$39,$A$10:$A$29,0)</formula>
    </cfRule>
    <cfRule type="expression" dxfId="94" priority="1000" stopIfTrue="1">
      <formula>WEEKDAY($V$39)=1</formula>
    </cfRule>
    <cfRule type="expression" dxfId="93" priority="1001" stopIfTrue="1">
      <formula>WEEKDAY($V$39)=7</formula>
    </cfRule>
  </conditionalFormatting>
  <conditionalFormatting sqref="X10">
    <cfRule type="expression" dxfId="92" priority="1002" stopIfTrue="1">
      <formula>MATCH($X$10,$A$10:$A$29,0)</formula>
    </cfRule>
    <cfRule type="expression" dxfId="91" priority="1003" stopIfTrue="1">
      <formula>WEEKDAY($X$10)=1</formula>
    </cfRule>
    <cfRule type="expression" dxfId="90" priority="1004" stopIfTrue="1">
      <formula>WEEKDAY($X$10)=7</formula>
    </cfRule>
  </conditionalFormatting>
  <conditionalFormatting sqref="X11">
    <cfRule type="expression" dxfId="89" priority="1005" stopIfTrue="1">
      <formula>MATCH($X$11,$A$10:$A$29,0)</formula>
    </cfRule>
    <cfRule type="expression" dxfId="88" priority="1006" stopIfTrue="1">
      <formula>WEEKDAY($X$11)=1</formula>
    </cfRule>
    <cfRule type="expression" dxfId="87" priority="1007" stopIfTrue="1">
      <formula>WEEKDAY($X$11)=7</formula>
    </cfRule>
  </conditionalFormatting>
  <conditionalFormatting sqref="X12">
    <cfRule type="expression" dxfId="86" priority="1008" stopIfTrue="1">
      <formula>MATCH($X$12,$A$10:$A$29,0)</formula>
    </cfRule>
    <cfRule type="expression" dxfId="85" priority="1009" stopIfTrue="1">
      <formula>WEEKDAY($X$12)=1</formula>
    </cfRule>
    <cfRule type="expression" dxfId="84" priority="1010" stopIfTrue="1">
      <formula>WEEKDAY($X$12)=7</formula>
    </cfRule>
  </conditionalFormatting>
  <conditionalFormatting sqref="X13">
    <cfRule type="expression" dxfId="83" priority="1011" stopIfTrue="1">
      <formula>MATCH($X$13,$A$10:$A$29,0)</formula>
    </cfRule>
    <cfRule type="expression" dxfId="82" priority="1012" stopIfTrue="1">
      <formula>WEEKDAY($X$13)=1</formula>
    </cfRule>
    <cfRule type="expression" dxfId="81" priority="1013" stopIfTrue="1">
      <formula>WEEKDAY($X$13)=7</formula>
    </cfRule>
  </conditionalFormatting>
  <conditionalFormatting sqref="X14">
    <cfRule type="expression" dxfId="80" priority="1014" stopIfTrue="1">
      <formula>MATCH($X$14,$A$10:$A$29,0)</formula>
    </cfRule>
    <cfRule type="expression" dxfId="79" priority="1015" stopIfTrue="1">
      <formula>WEEKDAY($X$14)=1</formula>
    </cfRule>
    <cfRule type="expression" dxfId="78" priority="1016" stopIfTrue="1">
      <formula>WEEKDAY($X$14)=7</formula>
    </cfRule>
  </conditionalFormatting>
  <conditionalFormatting sqref="X15">
    <cfRule type="expression" dxfId="77" priority="1017" stopIfTrue="1">
      <formula>MATCH($X$15,$A$10:$A$29,0)</formula>
    </cfRule>
    <cfRule type="expression" dxfId="76" priority="1018" stopIfTrue="1">
      <formula>WEEKDAY($X$15)=1</formula>
    </cfRule>
    <cfRule type="expression" dxfId="75" priority="1019" stopIfTrue="1">
      <formula>WEEKDAY($X$15)=7</formula>
    </cfRule>
  </conditionalFormatting>
  <conditionalFormatting sqref="X16">
    <cfRule type="expression" dxfId="74" priority="1020" stopIfTrue="1">
      <formula>MATCH($X$16,$A$10:$A$29,0)</formula>
    </cfRule>
    <cfRule type="expression" dxfId="73" priority="1021" stopIfTrue="1">
      <formula>WEEKDAY($X$16)=1</formula>
    </cfRule>
    <cfRule type="expression" dxfId="72" priority="1022" stopIfTrue="1">
      <formula>WEEKDAY($X$16)=7</formula>
    </cfRule>
  </conditionalFormatting>
  <conditionalFormatting sqref="X17">
    <cfRule type="expression" dxfId="71" priority="1023" stopIfTrue="1">
      <formula>MATCH($X$17,$A$10:$A$29,0)</formula>
    </cfRule>
    <cfRule type="expression" dxfId="70" priority="1024" stopIfTrue="1">
      <formula>WEEKDAY($X$17)=1</formula>
    </cfRule>
    <cfRule type="expression" dxfId="69" priority="1025" stopIfTrue="1">
      <formula>WEEKDAY($X$17)=7</formula>
    </cfRule>
  </conditionalFormatting>
  <conditionalFormatting sqref="X18">
    <cfRule type="expression" dxfId="68" priority="1026" stopIfTrue="1">
      <formula>MATCH($X$18,$A$10:$A$29,0)</formula>
    </cfRule>
    <cfRule type="expression" dxfId="67" priority="1028" stopIfTrue="1">
      <formula>WEEKDAY($X$18)=7</formula>
    </cfRule>
    <cfRule type="expression" dxfId="66" priority="1027" stopIfTrue="1">
      <formula>WEEKDAY($X$18)=1</formula>
    </cfRule>
  </conditionalFormatting>
  <conditionalFormatting sqref="X19">
    <cfRule type="expression" dxfId="65" priority="1029" stopIfTrue="1">
      <formula>MATCH($X$19,$A$10:$A$29,0)</formula>
    </cfRule>
    <cfRule type="expression" dxfId="64" priority="1030" stopIfTrue="1">
      <formula>WEEKDAY($X$19)=1</formula>
    </cfRule>
    <cfRule type="expression" dxfId="63" priority="1031" stopIfTrue="1">
      <formula>WEEKDAY($X$19)=7</formula>
    </cfRule>
  </conditionalFormatting>
  <conditionalFormatting sqref="X20">
    <cfRule type="expression" dxfId="62" priority="1032" stopIfTrue="1">
      <formula>MATCH($X$20,$A$10:$A$29,0)</formula>
    </cfRule>
    <cfRule type="expression" dxfId="61" priority="1033" stopIfTrue="1">
      <formula>WEEKDAY($X$20)=1</formula>
    </cfRule>
    <cfRule type="expression" dxfId="60" priority="1034" stopIfTrue="1">
      <formula>WEEKDAY($X$20)=7</formula>
    </cfRule>
  </conditionalFormatting>
  <conditionalFormatting sqref="X21">
    <cfRule type="expression" dxfId="59" priority="1036" stopIfTrue="1">
      <formula>WEEKDAY($X$21)=1</formula>
    </cfRule>
    <cfRule type="expression" dxfId="58" priority="1037" stopIfTrue="1">
      <formula>WEEKDAY($X$21)=7</formula>
    </cfRule>
    <cfRule type="expression" dxfId="57" priority="1035" stopIfTrue="1">
      <formula>MATCH($X$21,$A$10:$A$29,0)</formula>
    </cfRule>
  </conditionalFormatting>
  <conditionalFormatting sqref="X22">
    <cfRule type="expression" dxfId="56" priority="1038" stopIfTrue="1">
      <formula>MATCH($X$22,$A$10:$A$29,0)</formula>
    </cfRule>
    <cfRule type="expression" dxfId="55" priority="1039" stopIfTrue="1">
      <formula>WEEKDAY($X$22)=1</formula>
    </cfRule>
    <cfRule type="expression" dxfId="54" priority="1040" stopIfTrue="1">
      <formula>WEEKDAY($X$22)=7</formula>
    </cfRule>
  </conditionalFormatting>
  <conditionalFormatting sqref="X23">
    <cfRule type="expression" dxfId="53" priority="1042" stopIfTrue="1">
      <formula>WEEKDAY($X$23)=1</formula>
    </cfRule>
    <cfRule type="expression" dxfId="52" priority="1043" stopIfTrue="1">
      <formula>WEEKDAY($X$23)=7</formula>
    </cfRule>
    <cfRule type="expression" dxfId="51" priority="1041" stopIfTrue="1">
      <formula>MATCH($X$23,$A$10:$A$29,0)</formula>
    </cfRule>
  </conditionalFormatting>
  <conditionalFormatting sqref="X24">
    <cfRule type="expression" dxfId="50" priority="1044" stopIfTrue="1">
      <formula>MATCH($X$24,$A$10:$A$29,0)</formula>
    </cfRule>
    <cfRule type="expression" dxfId="49" priority="1045" stopIfTrue="1">
      <formula>WEEKDAY($X$24)=1</formula>
    </cfRule>
    <cfRule type="expression" dxfId="48" priority="1046" stopIfTrue="1">
      <formula>WEEKDAY($X$24)=7</formula>
    </cfRule>
  </conditionalFormatting>
  <conditionalFormatting sqref="X25">
    <cfRule type="expression" dxfId="47" priority="1047" stopIfTrue="1">
      <formula>MATCH($X$25,$A$10:$A$29,0)</formula>
    </cfRule>
    <cfRule type="expression" dxfId="46" priority="1048" stopIfTrue="1">
      <formula>WEEKDAY($X$25)=1</formula>
    </cfRule>
    <cfRule type="expression" dxfId="45" priority="1049" stopIfTrue="1">
      <formula>WEEKDAY($X$25)=7</formula>
    </cfRule>
  </conditionalFormatting>
  <conditionalFormatting sqref="X26">
    <cfRule type="expression" dxfId="44" priority="1050" stopIfTrue="1">
      <formula>MATCH($X$26,$A$10:$A$29,0)</formula>
    </cfRule>
    <cfRule type="expression" dxfId="43" priority="1051" stopIfTrue="1">
      <formula>WEEKDAY($X$26)=1</formula>
    </cfRule>
    <cfRule type="expression" dxfId="42" priority="1052" stopIfTrue="1">
      <formula>WEEKDAY($X$26)=7</formula>
    </cfRule>
  </conditionalFormatting>
  <conditionalFormatting sqref="X27">
    <cfRule type="expression" dxfId="41" priority="1053" stopIfTrue="1">
      <formula>MATCH($X$27,$A$10:$A$29,0)</formula>
    </cfRule>
    <cfRule type="expression" dxfId="40" priority="1054" stopIfTrue="1">
      <formula>WEEKDAY($X$27)=1</formula>
    </cfRule>
    <cfRule type="expression" dxfId="39" priority="1055" stopIfTrue="1">
      <formula>WEEKDAY($X$27)=7</formula>
    </cfRule>
  </conditionalFormatting>
  <conditionalFormatting sqref="X28">
    <cfRule type="expression" dxfId="38" priority="1056" stopIfTrue="1">
      <formula>MATCH($X$28,$A$10:$A$29,0)</formula>
    </cfRule>
    <cfRule type="expression" dxfId="37" priority="1057" stopIfTrue="1">
      <formula>WEEKDAY($X$28)=1</formula>
    </cfRule>
    <cfRule type="expression" dxfId="36" priority="1058" stopIfTrue="1">
      <formula>WEEKDAY($X$28)=7</formula>
    </cfRule>
  </conditionalFormatting>
  <conditionalFormatting sqref="X29">
    <cfRule type="expression" dxfId="35" priority="1059" stopIfTrue="1">
      <formula>MATCH($X$29,$A$10:$A$29,0)</formula>
    </cfRule>
    <cfRule type="expression" dxfId="34" priority="1060" stopIfTrue="1">
      <formula>WEEKDAY($X$29)=1</formula>
    </cfRule>
    <cfRule type="expression" dxfId="33" priority="1061" stopIfTrue="1">
      <formula>WEEKDAY($X$29)=7</formula>
    </cfRule>
  </conditionalFormatting>
  <conditionalFormatting sqref="X30">
    <cfRule type="expression" dxfId="32" priority="1062" stopIfTrue="1">
      <formula>MATCH($X$30,$A$10:$A$29,0)</formula>
    </cfRule>
    <cfRule type="expression" dxfId="31" priority="1063" stopIfTrue="1">
      <formula>WEEKDAY($X$30)=1</formula>
    </cfRule>
    <cfRule type="expression" dxfId="30" priority="1064" stopIfTrue="1">
      <formula>WEEKDAY($X$30)=7</formula>
    </cfRule>
  </conditionalFormatting>
  <conditionalFormatting sqref="X31">
    <cfRule type="expression" dxfId="29" priority="1065" stopIfTrue="1">
      <formula>MATCH($X$31,$A$10:$A$29,0)</formula>
    </cfRule>
    <cfRule type="expression" dxfId="28" priority="1066" stopIfTrue="1">
      <formula>WEEKDAY($X$31)=1</formula>
    </cfRule>
    <cfRule type="expression" dxfId="27" priority="1067" stopIfTrue="1">
      <formula>WEEKDAY($X$31)=7</formula>
    </cfRule>
  </conditionalFormatting>
  <conditionalFormatting sqref="X32">
    <cfRule type="expression" dxfId="26" priority="1068" stopIfTrue="1">
      <formula>MATCH($X$32,$A$10:$A$29,0)</formula>
    </cfRule>
    <cfRule type="expression" dxfId="25" priority="1069" stopIfTrue="1">
      <formula>WEEKDAY($X$32)=1</formula>
    </cfRule>
    <cfRule type="expression" dxfId="24" priority="1070" stopIfTrue="1">
      <formula>WEEKDAY($X$32)=7</formula>
    </cfRule>
  </conditionalFormatting>
  <conditionalFormatting sqref="X33">
    <cfRule type="expression" dxfId="23" priority="1077" stopIfTrue="1">
      <formula>MATCH($X$33,$A$10:$A$32,0)</formula>
    </cfRule>
    <cfRule type="expression" dxfId="22" priority="1078" stopIfTrue="1">
      <formula>WEEKDAY($X$33)=1</formula>
    </cfRule>
    <cfRule type="expression" dxfId="21" priority="1079" stopIfTrue="1">
      <formula>WEEKDAY($X$33)=7</formula>
    </cfRule>
  </conditionalFormatting>
  <conditionalFormatting sqref="X34">
    <cfRule type="expression" dxfId="20" priority="1080" stopIfTrue="1">
      <formula>MATCH($X$34,$A$10:$A$32,0)</formula>
    </cfRule>
    <cfRule type="expression" dxfId="19" priority="1081" stopIfTrue="1">
      <formula>WEEKDAY($X$34)=1</formula>
    </cfRule>
    <cfRule type="expression" dxfId="18" priority="1082" stopIfTrue="1">
      <formula>WEEKDAY($X$34)=7</formula>
    </cfRule>
  </conditionalFormatting>
  <conditionalFormatting sqref="X35">
    <cfRule type="expression" dxfId="17" priority="1083" stopIfTrue="1">
      <formula>MATCH($X$35,$A$10:$A$32,0)</formula>
    </cfRule>
    <cfRule type="expression" dxfId="16" priority="1084" stopIfTrue="1">
      <formula>WEEKDAY($X$35)=1</formula>
    </cfRule>
    <cfRule type="expression" dxfId="15" priority="1085" stopIfTrue="1">
      <formula>WEEKDAY($X$35)=7</formula>
    </cfRule>
  </conditionalFormatting>
  <conditionalFormatting sqref="X36">
    <cfRule type="expression" dxfId="14" priority="1086" stopIfTrue="1">
      <formula>MATCH($X$36,$A$10:$A$32,0)</formula>
    </cfRule>
    <cfRule type="expression" dxfId="13" priority="1087" stopIfTrue="1">
      <formula>WEEKDAY($X$36)=1</formula>
    </cfRule>
    <cfRule type="expression" dxfId="12" priority="1088" stopIfTrue="1">
      <formula>WEEKDAY($X$36)=7</formula>
    </cfRule>
  </conditionalFormatting>
  <conditionalFormatting sqref="X37">
    <cfRule type="expression" dxfId="11" priority="1089" stopIfTrue="1">
      <formula>MATCH($X$37,$A$10:$A$32,0)</formula>
    </cfRule>
    <cfRule type="expression" dxfId="10" priority="1090" stopIfTrue="1">
      <formula>WEEKDAY($X$37)=1</formula>
    </cfRule>
    <cfRule type="expression" dxfId="9" priority="1091" stopIfTrue="1">
      <formula>WEEKDAY($X$37)=7</formula>
    </cfRule>
  </conditionalFormatting>
  <conditionalFormatting sqref="X38">
    <cfRule type="expression" dxfId="8" priority="1092" stopIfTrue="1">
      <formula>MATCH($X$38,$A$10:$A$32,0)</formula>
    </cfRule>
    <cfRule type="expression" dxfId="7" priority="1093" stopIfTrue="1">
      <formula>WEEKDAY($X$38)=1</formula>
    </cfRule>
    <cfRule type="expression" dxfId="6" priority="1094" stopIfTrue="1">
      <formula>WEEKDAY($X$38)=7</formula>
    </cfRule>
  </conditionalFormatting>
  <conditionalFormatting sqref="X39">
    <cfRule type="expression" dxfId="5" priority="1095" stopIfTrue="1">
      <formula>MATCH($X$39,$A$10:$A$32,0)</formula>
    </cfRule>
    <cfRule type="expression" dxfId="4" priority="1096" stopIfTrue="1">
      <formula>WEEKDAY($X$39)=1</formula>
    </cfRule>
    <cfRule type="expression" dxfId="3" priority="1097" stopIfTrue="1">
      <formula>WEEKDAY($X$39)=7</formula>
    </cfRule>
  </conditionalFormatting>
  <conditionalFormatting sqref="X40">
    <cfRule type="expression" dxfId="2" priority="1098" stopIfTrue="1">
      <formula>MATCH($X$40,$A$10:$A$32,0)</formula>
    </cfRule>
    <cfRule type="expression" dxfId="1" priority="1099" stopIfTrue="1">
      <formula>WEEKDAY($X$40)=1</formula>
    </cfRule>
    <cfRule type="expression" dxfId="0" priority="1100" stopIfTrue="1">
      <formula>WEEKDAY($X$40)=7</formula>
    </cfRule>
  </conditionalFormatting>
  <pageMargins left="0.59027777777777779" right="0.39374999999999999" top="0.59027777777777779" bottom="0.51180555555555551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1"/>
  <sheetViews>
    <sheetView showGridLines="0" workbookViewId="0">
      <selection activeCell="C6" sqref="C6"/>
    </sheetView>
  </sheetViews>
  <sheetFormatPr baseColWidth="10" defaultColWidth="11.42578125" defaultRowHeight="12.75"/>
  <cols>
    <col min="1" max="1" width="3.42578125" customWidth="1"/>
    <col min="2" max="2" width="12.7109375" customWidth="1"/>
    <col min="3" max="3" width="2.5703125" customWidth="1"/>
    <col min="4" max="4" width="14.140625" customWidth="1"/>
    <col min="5" max="5" width="12.7109375" customWidth="1"/>
    <col min="6" max="6" width="11.5703125" customWidth="1"/>
    <col min="7" max="7" width="2.5703125" customWidth="1"/>
    <col min="8" max="8" width="7.7109375" customWidth="1"/>
    <col min="9" max="9" width="18.28515625" customWidth="1"/>
    <col min="10" max="10" width="3.7109375" customWidth="1"/>
  </cols>
  <sheetData>
    <row r="1" spans="2:9" ht="20.25">
      <c r="B1" s="107" t="s">
        <v>80</v>
      </c>
      <c r="C1" s="108"/>
      <c r="D1" s="108"/>
      <c r="F1" s="108"/>
      <c r="G1" s="108"/>
    </row>
    <row r="2" spans="2:9">
      <c r="B2" s="42" t="s">
        <v>81</v>
      </c>
    </row>
    <row r="3" spans="2:9" ht="15.95" customHeight="1">
      <c r="B3" s="109"/>
      <c r="C3" s="88"/>
      <c r="D3" s="88"/>
      <c r="E3" s="88"/>
      <c r="F3" s="88"/>
      <c r="G3" s="88"/>
      <c r="H3" s="88"/>
      <c r="I3" s="88"/>
    </row>
    <row r="6" spans="2:9">
      <c r="B6" s="110" t="s">
        <v>82</v>
      </c>
      <c r="C6" s="111" t="s">
        <v>83</v>
      </c>
      <c r="D6" t="s">
        <v>84</v>
      </c>
      <c r="F6" s="112" t="s">
        <v>85</v>
      </c>
      <c r="G6" s="111"/>
      <c r="H6" t="s">
        <v>86</v>
      </c>
    </row>
    <row r="7" spans="2:9" ht="8.1" customHeight="1">
      <c r="C7" s="26"/>
      <c r="G7" s="26"/>
    </row>
    <row r="8" spans="2:9">
      <c r="C8" s="111"/>
      <c r="D8" t="s">
        <v>87</v>
      </c>
      <c r="G8" s="111"/>
      <c r="H8" t="s">
        <v>88</v>
      </c>
    </row>
    <row r="9" spans="2:9" ht="8.1" customHeight="1">
      <c r="C9" s="26"/>
      <c r="G9" s="26"/>
    </row>
    <row r="10" spans="2:9">
      <c r="C10" s="111"/>
      <c r="D10" t="s">
        <v>89</v>
      </c>
      <c r="G10" s="111"/>
      <c r="H10" t="s">
        <v>90</v>
      </c>
    </row>
    <row r="11" spans="2:9" ht="35.1" customHeight="1">
      <c r="B11" t="s">
        <v>91</v>
      </c>
      <c r="C11" s="42"/>
      <c r="D11" s="71" t="str">
        <f>Datenblatt!$D$7</f>
        <v>Vorname Familienname</v>
      </c>
      <c r="F11" s="71"/>
      <c r="G11" s="42"/>
    </row>
    <row r="12" spans="2:9" s="2" customFormat="1" ht="20.100000000000001" customHeight="1">
      <c r="B12" s="2" t="s">
        <v>4</v>
      </c>
      <c r="D12" s="113" t="str">
        <f>Datenblatt!A2</f>
        <v>Bezeichnung der Dienststelle</v>
      </c>
      <c r="F12" s="113"/>
    </row>
    <row r="14" spans="2:9" ht="15" customHeight="1">
      <c r="B14" t="s">
        <v>92</v>
      </c>
      <c r="C14" s="42"/>
      <c r="D14" s="386" t="s">
        <v>93</v>
      </c>
      <c r="E14" s="386"/>
      <c r="F14" s="94" t="s">
        <v>94</v>
      </c>
      <c r="G14" s="42"/>
      <c r="H14" s="386" t="s">
        <v>93</v>
      </c>
      <c r="I14" s="386"/>
    </row>
    <row r="15" spans="2:9" ht="15" customHeight="1"/>
    <row r="16" spans="2:9" ht="15" customHeight="1">
      <c r="B16" t="s">
        <v>95</v>
      </c>
      <c r="E16" s="114">
        <v>0</v>
      </c>
      <c r="F16" t="s">
        <v>96</v>
      </c>
    </row>
    <row r="17" spans="1:10" ht="15" customHeight="1"/>
    <row r="18" spans="1:10" ht="15" customHeight="1">
      <c r="B18" t="str">
        <f>"Verbleibender Urlaubsanspruch für "&amp;Datenblatt!F$5&amp;":"</f>
        <v>Verbleibender Urlaubsanspruch für 2026:</v>
      </c>
      <c r="F18" s="115">
        <f>Datenblatt!D11-Jän!Q40-Feb!Q40-März!Q40-April!Q40-Mai!Q40-Juni!Q40-Juli!Q40-Aug!Q40-Sept!Q40-Okt!Q40-Nov!Q40-Dez!Q40+Datenblatt!N41+Datenblatt!Q41+Datenblatt!T41+Datenblatt!W41+Datenblatt!Z41+Datenblatt!K54+Datenblatt!N54+Datenblatt!Q54+Datenblatt!T54+Datenblatt!W54+Datenblatt!Z54</f>
        <v>190</v>
      </c>
      <c r="G18" t="s">
        <v>97</v>
      </c>
    </row>
    <row r="19" spans="1:10" ht="15" customHeight="1">
      <c r="B19" s="116"/>
      <c r="D19" s="117"/>
    </row>
    <row r="20" spans="1:10" ht="15" customHeight="1"/>
    <row r="21" spans="1:10" ht="15" customHeight="1"/>
    <row r="22" spans="1:10" ht="15" customHeight="1">
      <c r="B22" s="88"/>
      <c r="C22" s="88"/>
      <c r="D22" s="88"/>
      <c r="E22" s="88"/>
      <c r="G22" s="88"/>
      <c r="H22" s="88"/>
      <c r="I22" s="88"/>
    </row>
    <row r="23" spans="1:10" s="2" customFormat="1" ht="15" customHeight="1">
      <c r="B23" s="387" t="str">
        <f>Datenblatt!D39</f>
        <v>Name des unmittelbaren Vorgesetzten</v>
      </c>
      <c r="C23" s="387"/>
      <c r="D23" s="387"/>
      <c r="E23" s="2" t="s">
        <v>98</v>
      </c>
      <c r="F23" s="117"/>
      <c r="G23" s="388">
        <f ca="1">TODAY()</f>
        <v>45935</v>
      </c>
      <c r="H23" s="388"/>
      <c r="I23" t="s">
        <v>99</v>
      </c>
    </row>
    <row r="24" spans="1:10" ht="12" customHeight="1">
      <c r="B24" s="389" t="s">
        <v>190</v>
      </c>
      <c r="C24" s="389"/>
      <c r="D24" s="389"/>
    </row>
    <row r="25" spans="1:10" ht="15" customHeight="1">
      <c r="B25" s="66"/>
      <c r="C25" s="66"/>
      <c r="D25" s="66"/>
    </row>
    <row r="26" spans="1:10" ht="15" customHeight="1">
      <c r="A26" s="88"/>
      <c r="B26" s="88"/>
      <c r="C26" s="88"/>
      <c r="D26" s="88"/>
      <c r="E26" s="88"/>
      <c r="F26" s="88"/>
      <c r="G26" s="88"/>
      <c r="H26" s="88"/>
      <c r="I26" s="88"/>
      <c r="J26" s="88"/>
    </row>
    <row r="27" spans="1:10">
      <c r="A27" s="118" t="s">
        <v>100</v>
      </c>
    </row>
    <row r="28" spans="1:10" ht="20.25">
      <c r="B28" s="119" t="str">
        <f>"  Kopie dieser Meldung für "&amp;D11</f>
        <v xml:space="preserve">  Kopie dieser Meldung für Vorname Familienname</v>
      </c>
      <c r="C28" s="120"/>
      <c r="D28" s="120"/>
      <c r="E28" s="12"/>
      <c r="F28" s="120"/>
      <c r="G28" s="120"/>
      <c r="H28" s="12"/>
    </row>
    <row r="29" spans="1:10">
      <c r="B29" s="42"/>
    </row>
    <row r="30" spans="1:10" ht="15.95" customHeight="1">
      <c r="B30" s="109"/>
      <c r="C30" s="88"/>
      <c r="D30" s="88"/>
      <c r="E30" s="88"/>
      <c r="F30" s="88"/>
      <c r="G30" s="88"/>
      <c r="H30" s="88"/>
      <c r="I30" s="88"/>
    </row>
    <row r="33" spans="2:9">
      <c r="B33" s="110" t="s">
        <v>82</v>
      </c>
      <c r="C33" s="121" t="str">
        <f>IF((C6=0),"",(C6))</f>
        <v>X</v>
      </c>
      <c r="D33" t="s">
        <v>84</v>
      </c>
      <c r="F33" s="112" t="s">
        <v>85</v>
      </c>
      <c r="G33" s="121" t="str">
        <f>IF((G6=0),"",(G6))</f>
        <v/>
      </c>
      <c r="H33" t="s">
        <v>86</v>
      </c>
    </row>
    <row r="34" spans="2:9" ht="8.1" customHeight="1">
      <c r="C34" s="26"/>
      <c r="G34" s="26"/>
    </row>
    <row r="35" spans="2:9">
      <c r="C35" s="121" t="str">
        <f>IF((C8=0),"",(C8))</f>
        <v/>
      </c>
      <c r="D35" t="s">
        <v>87</v>
      </c>
      <c r="G35" s="121" t="str">
        <f>IF((G8=0),"",(G8))</f>
        <v/>
      </c>
      <c r="H35" t="s">
        <v>88</v>
      </c>
    </row>
    <row r="36" spans="2:9" ht="8.1" customHeight="1">
      <c r="C36" s="26"/>
      <c r="G36" s="26"/>
    </row>
    <row r="37" spans="2:9">
      <c r="C37" s="121" t="str">
        <f>IF((C10=0),"",(C10))</f>
        <v/>
      </c>
      <c r="D37" t="s">
        <v>89</v>
      </c>
      <c r="G37" s="121" t="str">
        <f>IF((G10=0),"",(G10))</f>
        <v/>
      </c>
      <c r="H37" t="s">
        <v>90</v>
      </c>
    </row>
    <row r="38" spans="2:9" ht="35.1" customHeight="1">
      <c r="B38" t="s">
        <v>91</v>
      </c>
      <c r="C38" s="42"/>
      <c r="D38" s="71" t="str">
        <f>D11</f>
        <v>Vorname Familienname</v>
      </c>
      <c r="F38" s="71"/>
      <c r="G38" s="42"/>
    </row>
    <row r="39" spans="2:9" s="2" customFormat="1" ht="20.100000000000001" customHeight="1">
      <c r="B39" s="2" t="s">
        <v>4</v>
      </c>
      <c r="D39" s="113" t="str">
        <f>D12</f>
        <v>Bezeichnung der Dienststelle</v>
      </c>
      <c r="F39" s="113"/>
    </row>
    <row r="40" spans="2:9" ht="15" customHeight="1"/>
    <row r="41" spans="2:9">
      <c r="B41" t="s">
        <v>92</v>
      </c>
      <c r="C41" s="42"/>
      <c r="D41" s="390" t="str">
        <f>D14</f>
        <v>TT.MM.JJJJ</v>
      </c>
      <c r="E41" s="390"/>
      <c r="F41" s="94" t="s">
        <v>94</v>
      </c>
      <c r="G41" s="42"/>
      <c r="H41" s="390" t="str">
        <f>H14</f>
        <v>TT.MM.JJJJ</v>
      </c>
      <c r="I41" s="390"/>
    </row>
    <row r="43" spans="2:9" ht="15" customHeight="1">
      <c r="B43" t="s">
        <v>95</v>
      </c>
      <c r="E43" s="122">
        <f>E16</f>
        <v>0</v>
      </c>
      <c r="F43" t="s">
        <v>101</v>
      </c>
    </row>
    <row r="44" spans="2:9" ht="15" customHeight="1"/>
    <row r="45" spans="2:9">
      <c r="B45" t="str">
        <f>"Verbleibender Urlaubsanspruch für "&amp;Datenblatt!F$5&amp;":"</f>
        <v>Verbleibender Urlaubsanspruch für 2026:</v>
      </c>
      <c r="F45" s="115">
        <f>F18</f>
        <v>190</v>
      </c>
      <c r="G45" t="s">
        <v>101</v>
      </c>
    </row>
    <row r="46" spans="2:9">
      <c r="B46" s="116"/>
      <c r="D46" s="117"/>
    </row>
    <row r="49" spans="2:9" ht="15" customHeight="1">
      <c r="B49" s="88"/>
      <c r="C49" s="88"/>
      <c r="D49" s="88"/>
      <c r="E49" s="88"/>
      <c r="G49" s="88"/>
      <c r="H49" s="88"/>
      <c r="I49" s="88"/>
    </row>
    <row r="50" spans="2:9">
      <c r="B50" s="391" t="str">
        <f>Datenblatt!D39</f>
        <v>Name des unmittelbaren Vorgesetzten</v>
      </c>
      <c r="C50" s="391"/>
      <c r="D50" s="391"/>
      <c r="E50" s="2" t="s">
        <v>98</v>
      </c>
      <c r="F50" s="117"/>
      <c r="G50" s="392">
        <f ca="1">TODAY()</f>
        <v>45935</v>
      </c>
      <c r="H50" s="392"/>
      <c r="I50" t="s">
        <v>99</v>
      </c>
    </row>
    <row r="51" spans="2:9">
      <c r="B51" s="389" t="s">
        <v>190</v>
      </c>
      <c r="C51" s="389"/>
      <c r="D51" s="389"/>
    </row>
  </sheetData>
  <sheetProtection sheet="1" objects="1" scenarios="1" selectLockedCells="1"/>
  <mergeCells count="10">
    <mergeCell ref="D14:E14"/>
    <mergeCell ref="H14:I14"/>
    <mergeCell ref="B23:D23"/>
    <mergeCell ref="G23:H23"/>
    <mergeCell ref="B51:D51"/>
    <mergeCell ref="B24:D24"/>
    <mergeCell ref="D41:E41"/>
    <mergeCell ref="H41:I41"/>
    <mergeCell ref="B50:D50"/>
    <mergeCell ref="G50:H50"/>
  </mergeCells>
  <phoneticPr fontId="2" type="noConversion"/>
  <pageMargins left="0.78749999999999998" right="0.59027777777777779" top="0.59027777777777779" bottom="0.5118055555555555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X48"/>
  <sheetViews>
    <sheetView showGridLines="0" workbookViewId="0">
      <pane ySplit="8" topLeftCell="A9" activePane="bottomLeft" state="frozen"/>
      <selection activeCell="Z14" sqref="Z14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6.140625" style="94" hidden="1" customWidth="1"/>
    <col min="5" max="5" width="0.140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DATE(Datenblatt!F5,1,1)</f>
        <v>46023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"&amp;Datenblatt!$K$33&amp;";"&amp;"    Di: "&amp;Datenblatt!$K$34&amp;";"&amp;"    Mi: "&amp;Datenblatt!$K$35&amp;";"&amp;"    Do: "&amp;Datenblatt!$K$36&amp;";"&amp;"    Fr: "&amp;Datenblatt!$K$37&amp;";"&amp;"    Sa: "&amp;Datenblatt!$K$38&amp;";"&amp;"    So: "&amp;Datenblatt!$K$39&amp;" "&amp;"     -    Wochenarbeitszeit:  "&amp;Datenblatt!$K$40&amp;" "</f>
        <v xml:space="preserve">Arbeitsstunden/Tag:  Mo: 8;    Di: 8;    Mi: 8;    Do: 8;    Fr: 6;    Sa: 0;    So: 0      -    Wochenarbeitszeit:  38 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Datenblatt!D11</f>
        <v>190</v>
      </c>
      <c r="U4" s="405"/>
      <c r="V4" s="141"/>
      <c r="W4" s="142" t="str">
        <f>"Urlaubsanspruch per 01.01."&amp;Datenblatt!$F$5</f>
        <v>Urlaubsanspruch per 01.01.2026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190</v>
      </c>
      <c r="U5" s="405"/>
      <c r="V5" s="141"/>
      <c r="W5" s="143" t="str">
        <f>"Resturlaub per 31.01."&amp;Datenblatt!$F$5</f>
        <v>Resturlaub per 31.01.2026</v>
      </c>
      <c r="X5" s="124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46023</v>
      </c>
      <c r="C9" s="157">
        <f t="shared" ref="C9:C39" si="0">B9</f>
        <v>46023</v>
      </c>
      <c r="D9" s="350">
        <f>IF(VLOOKUP($B9,Datenblatt!$A$43:$A$65,1,1)=$B9,0,VLOOKUP(WEEKDAY($B9),Datenblatt!$I$33:$K$39,3,FALSE))</f>
        <v>0</v>
      </c>
      <c r="E9" s="350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>Neujahr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9" si="4">B9+1</f>
        <v>46024</v>
      </c>
      <c r="C10" s="157">
        <f t="shared" si="0"/>
        <v>46024</v>
      </c>
      <c r="D10" s="351">
        <f>IF(VLOOKUP($B10,Datenblatt!$A$43:$A$65,1,1)=$B10,0,VLOOKUP(WEEKDAY($B10),Datenblatt!$I$33:$K$39,3,FALSE))</f>
        <v>6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46025</v>
      </c>
      <c r="C11" s="157">
        <f t="shared" si="0"/>
        <v>46025</v>
      </c>
      <c r="D11" s="352">
        <f>IF(VLOOKUP($B11,Datenblatt!$A$43:$A$65,1,1)=$B11,0,VLOOKUP(WEEKDAY($B11),Datenblatt!$I$33:$K$39,3,FALSE))</f>
        <v>0</v>
      </c>
      <c r="E11" s="352">
        <f>IF(VLOOKUP($B11,Datenblatt!$A$43:$A$65,1,1)=$B11,0,IF(WEEKDAY($B11)=7,1,IF(WEEKDAY($B11)=1,0,2)))</f>
        <v>1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46026</v>
      </c>
      <c r="C12" s="157">
        <f t="shared" si="0"/>
        <v>46026</v>
      </c>
      <c r="D12" s="352">
        <f>IF(VLOOKUP($B12,Datenblatt!$A$43:$A$65,1,1)=$B12,0,VLOOKUP(WEEKDAY($B12),Datenblatt!$I$33:$K$39,3,FALSE))</f>
        <v>0</v>
      </c>
      <c r="E12" s="352">
        <f>IF(VLOOKUP($B12,Datenblatt!$A$43:$A$65,1,1)=$B12,0,IF(WEEKDAY($B12)=7,1,IF(WEEKDAY($B12)=1,0,2)))</f>
        <v>0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46027</v>
      </c>
      <c r="C13" s="157">
        <f t="shared" si="0"/>
        <v>46027</v>
      </c>
      <c r="D13" s="352">
        <f>IF(VLOOKUP($B13,Datenblatt!$A$43:$A$65,1,1)=$B13,0,VLOOKUP(WEEKDAY($B13),Datenblatt!$I$33:$K$39,3,FALSE))</f>
        <v>8</v>
      </c>
      <c r="E13" s="352">
        <f>IF(VLOOKUP($B13,Datenblatt!$A$43:$A$65,1,1)=$B13,0,IF(WEEKDAY($B13)=7,1,IF(WEEKDAY($B13)=1,0,2)))</f>
        <v>2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46028</v>
      </c>
      <c r="C14" s="157">
        <f t="shared" si="0"/>
        <v>46028</v>
      </c>
      <c r="D14" s="352">
        <f>IF(VLOOKUP($B14,Datenblatt!$A$43:$A$65,1,1)=$B14,0,VLOOKUP(WEEKDAY($B14),Datenblatt!$I$33:$K$39,3,FALSE))</f>
        <v>0</v>
      </c>
      <c r="E14" s="352">
        <f>IF(VLOOKUP($B14,Datenblatt!$A$43:$A$65,1,1)=$B14,0,IF(WEEKDAY($B14)=7,1,IF(WEEKDAY($B14)=1,0,2)))</f>
        <v>0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>Hl. drei Könige</v>
      </c>
      <c r="W14" s="413"/>
      <c r="X14" s="414"/>
      <c r="AA14" s="173"/>
    </row>
    <row r="15" spans="2:128" ht="12.2" customHeight="1">
      <c r="B15" s="156">
        <f t="shared" si="4"/>
        <v>46029</v>
      </c>
      <c r="C15" s="157">
        <f t="shared" si="0"/>
        <v>46029</v>
      </c>
      <c r="D15" s="352">
        <f>IF(VLOOKUP($B15,Datenblatt!$A$43:$A$65,1,1)=$B15,0,VLOOKUP(WEEKDAY($B15),Datenblatt!$I$33:$K$39,3,FALSE))</f>
        <v>8</v>
      </c>
      <c r="E15" s="352">
        <f>IF(VLOOKUP($B15,Datenblatt!$A$43:$A$65,1,1)=$B15,0,IF(WEEKDAY($B15)=7,1,IF(WEEKDAY($B15)=1,0,2)))</f>
        <v>2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46030</v>
      </c>
      <c r="C16" s="157">
        <f t="shared" si="0"/>
        <v>46030</v>
      </c>
      <c r="D16" s="352">
        <f>IF(VLOOKUP($B16,Datenblatt!$A$43:$A$65,1,1)=$B16,0,VLOOKUP(WEEKDAY($B16),Datenblatt!$I$33:$K$39,3,FALSE))</f>
        <v>8</v>
      </c>
      <c r="E16" s="352">
        <f>IF(VLOOKUP($B16,Datenblatt!$A$43:$A$65,1,1)=$B16,0,IF(WEEKDAY($B16)=7,1,IF(WEEKDAY($B16)=1,0,2)))</f>
        <v>2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46031</v>
      </c>
      <c r="C17" s="157">
        <f t="shared" si="0"/>
        <v>46031</v>
      </c>
      <c r="D17" s="352">
        <f>IF(VLOOKUP($B17,Datenblatt!$A$43:$A$65,1,1)=$B17,0,VLOOKUP(WEEKDAY($B17),Datenblatt!$I$33:$K$39,3,FALSE))</f>
        <v>6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46032</v>
      </c>
      <c r="C18" s="157">
        <f t="shared" si="0"/>
        <v>46032</v>
      </c>
      <c r="D18" s="352">
        <f>IF(VLOOKUP($B18,Datenblatt!$A$43:$A$65,1,1)=$B18,0,VLOOKUP(WEEKDAY($B18),Datenblatt!$I$33:$K$39,3,FALSE))</f>
        <v>0</v>
      </c>
      <c r="E18" s="352">
        <f>IF(VLOOKUP($B18,Datenblatt!$A$43:$A$65,1,1)=$B18,0,IF(WEEKDAY($B18)=7,1,IF(WEEKDAY($B18)=1,0,2)))</f>
        <v>1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46033</v>
      </c>
      <c r="C19" s="157">
        <f t="shared" si="0"/>
        <v>46033</v>
      </c>
      <c r="D19" s="352">
        <f>IF(VLOOKUP($B19,Datenblatt!$A$43:$A$65,1,1)=$B19,0,VLOOKUP(WEEKDAY($B19),Datenblatt!$I$33:$K$39,3,FALSE))</f>
        <v>0</v>
      </c>
      <c r="E19" s="352">
        <f>IF(VLOOKUP($B19,Datenblatt!$A$43:$A$65,1,1)=$B19,0,IF(WEEKDAY($B19)=7,1,IF(WEEKDAY($B19)=1,0,2)))</f>
        <v>0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46034</v>
      </c>
      <c r="C20" s="157">
        <f t="shared" si="0"/>
        <v>46034</v>
      </c>
      <c r="D20" s="352">
        <f>IF(VLOOKUP($B20,Datenblatt!$A$43:$A$65,1,1)=$B20,0,VLOOKUP(WEEKDAY($B20),Datenblatt!$I$33:$K$39,3,FALSE))</f>
        <v>8</v>
      </c>
      <c r="E20" s="352">
        <f>IF(VLOOKUP($B20,Datenblatt!$A$43:$A$65,1,1)=$B20,0,IF(WEEKDAY($B20)=7,1,IF(WEEKDAY($B20)=1,0,2)))</f>
        <v>2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46035</v>
      </c>
      <c r="C21" s="157">
        <f t="shared" si="0"/>
        <v>46035</v>
      </c>
      <c r="D21" s="352">
        <f>IF(VLOOKUP($B21,Datenblatt!$A$43:$A$65,1,1)=$B21,0,VLOOKUP(WEEKDAY($B21),Datenblatt!$I$33:$K$39,3,FALSE))</f>
        <v>8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46036</v>
      </c>
      <c r="C22" s="157">
        <f t="shared" si="0"/>
        <v>46036</v>
      </c>
      <c r="D22" s="352">
        <f>IF(VLOOKUP($B22,Datenblatt!$A$43:$A$65,1,1)=$B22,0,VLOOKUP(WEEKDAY($B22),Datenblatt!$I$33:$K$39,3,FALSE))</f>
        <v>8</v>
      </c>
      <c r="E22" s="352">
        <f>IF(VLOOKUP($B22,Datenblatt!$A$43:$A$65,1,1)=$B22,0,IF(WEEKDAY($B22)=7,1,IF(WEEKDAY($B22)=1,0,2)))</f>
        <v>2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46037</v>
      </c>
      <c r="C23" s="157">
        <f t="shared" si="0"/>
        <v>46037</v>
      </c>
      <c r="D23" s="352">
        <f>IF(VLOOKUP($B23,Datenblatt!$A$43:$A$65,1,1)=$B23,0,VLOOKUP(WEEKDAY($B23),Datenblatt!$I$33:$K$39,3,FALSE))</f>
        <v>8</v>
      </c>
      <c r="E23" s="352">
        <f>IF(VLOOKUP($B23,Datenblatt!$A$43:$A$65,1,1)=$B23,0,IF(WEEKDAY($B23)=7,1,IF(WEEKDAY($B23)=1,0,2)))</f>
        <v>2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46038</v>
      </c>
      <c r="C24" s="157">
        <f t="shared" si="0"/>
        <v>46038</v>
      </c>
      <c r="D24" s="352">
        <f>IF(VLOOKUP($B24,Datenblatt!$A$43:$A$65,1,1)=$B24,0,VLOOKUP(WEEKDAY($B24),Datenblatt!$I$33:$K$39,3,FALSE))</f>
        <v>6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46039</v>
      </c>
      <c r="C25" s="157">
        <f t="shared" si="0"/>
        <v>46039</v>
      </c>
      <c r="D25" s="352">
        <f>IF(VLOOKUP($B25,Datenblatt!$A$43:$A$65,1,1)=$B25,0,VLOOKUP(WEEKDAY($B25),Datenblatt!$I$33:$K$39,3,FALSE))</f>
        <v>0</v>
      </c>
      <c r="E25" s="352">
        <f>IF(VLOOKUP($B25,Datenblatt!$A$43:$A$65,1,1)=$B25,0,IF(WEEKDAY($B25)=7,1,IF(WEEKDAY($B25)=1,0,2)))</f>
        <v>1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46040</v>
      </c>
      <c r="C26" s="157">
        <f t="shared" si="0"/>
        <v>46040</v>
      </c>
      <c r="D26" s="352">
        <f>IF(VLOOKUP($B26,Datenblatt!$A$43:$A$65,1,1)=$B26,0,VLOOKUP(WEEKDAY($B26),Datenblatt!$I$33:$K$39,3,FALSE))</f>
        <v>0</v>
      </c>
      <c r="E26" s="352">
        <f>IF(VLOOKUP($B26,Datenblatt!$A$43:$A$65,1,1)=$B26,0,IF(WEEKDAY($B26)=7,1,IF(WEEKDAY($B26)=1,0,2)))</f>
        <v>0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46041</v>
      </c>
      <c r="C27" s="157">
        <f t="shared" si="0"/>
        <v>46041</v>
      </c>
      <c r="D27" s="352">
        <f>IF(VLOOKUP($B27,Datenblatt!$A$43:$A$65,1,1)=$B27,0,VLOOKUP(WEEKDAY($B27),Datenblatt!$I$33:$K$39,3,FALSE))</f>
        <v>8</v>
      </c>
      <c r="E27" s="352">
        <f>IF(VLOOKUP($B27,Datenblatt!$A$43:$A$65,1,1)=$B27,0,IF(WEEKDAY($B27)=7,1,IF(WEEKDAY($B27)=1,0,2)))</f>
        <v>2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46042</v>
      </c>
      <c r="C28" s="157">
        <f t="shared" si="0"/>
        <v>46042</v>
      </c>
      <c r="D28" s="352">
        <f>IF(VLOOKUP($B28,Datenblatt!$A$43:$A$65,1,1)=$B28,0,VLOOKUP(WEEKDAY($B28),Datenblatt!$I$33:$K$39,3,FALSE))</f>
        <v>8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46043</v>
      </c>
      <c r="C29" s="157">
        <f t="shared" si="0"/>
        <v>46043</v>
      </c>
      <c r="D29" s="352">
        <f>IF(VLOOKUP($B29,Datenblatt!$A$43:$A$65,1,1)=$B29,0,VLOOKUP(WEEKDAY($B29),Datenblatt!$I$33:$K$39,3,FALSE))</f>
        <v>8</v>
      </c>
      <c r="E29" s="352">
        <f>IF(VLOOKUP($B29,Datenblatt!$A$43:$A$65,1,1)=$B29,0,IF(WEEKDAY($B29)=7,1,IF(WEEKDAY($B29)=1,0,2)))</f>
        <v>2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46044</v>
      </c>
      <c r="C30" s="157">
        <f t="shared" si="0"/>
        <v>46044</v>
      </c>
      <c r="D30" s="352">
        <f>IF(VLOOKUP($B30,Datenblatt!$A$43:$A$65,1,1)=$B30,0,VLOOKUP(WEEKDAY($B30),Datenblatt!$I$33:$K$39,3,FALSE))</f>
        <v>8</v>
      </c>
      <c r="E30" s="352">
        <f>IF(VLOOKUP($B30,Datenblatt!$A$43:$A$65,1,1)=$B30,0,IF(WEEKDAY($B30)=7,1,IF(WEEKDAY($B30)=1,0,2)))</f>
        <v>2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46045</v>
      </c>
      <c r="C31" s="157">
        <f t="shared" si="0"/>
        <v>46045</v>
      </c>
      <c r="D31" s="352">
        <f>IF(VLOOKUP($B31,Datenblatt!$A$43:$A$65,1,1)=$B31,0,VLOOKUP(WEEKDAY($B31),Datenblatt!$I$33:$K$39,3,FALSE))</f>
        <v>6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46046</v>
      </c>
      <c r="C32" s="157">
        <f t="shared" si="0"/>
        <v>46046</v>
      </c>
      <c r="D32" s="352">
        <f>IF(VLOOKUP($B32,Datenblatt!$A$43:$A$65,1,1)=$B32,0,VLOOKUP(WEEKDAY($B32),Datenblatt!$I$33:$K$39,3,FALSE))</f>
        <v>0</v>
      </c>
      <c r="E32" s="352">
        <f>IF(VLOOKUP($B32,Datenblatt!$A$43:$A$65,1,1)=$B32,0,IF(WEEKDAY($B32)=7,1,IF(WEEKDAY($B32)=1,0,2)))</f>
        <v>1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46047</v>
      </c>
      <c r="C33" s="157">
        <f t="shared" si="0"/>
        <v>46047</v>
      </c>
      <c r="D33" s="352">
        <f>IF(VLOOKUP($B33,Datenblatt!$A$43:$A$65,1,1)=$B33,0,VLOOKUP(WEEKDAY($B33),Datenblatt!$I$33:$K$39,3,FALSE))</f>
        <v>0</v>
      </c>
      <c r="E33" s="352">
        <f>IF(VLOOKUP($B33,Datenblatt!$A$43:$A$65,1,1)=$B33,0,IF(WEEKDAY($B33)=7,1,IF(WEEKDAY($B33)=1,0,2)))</f>
        <v>0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46048</v>
      </c>
      <c r="C34" s="157">
        <f t="shared" si="0"/>
        <v>46048</v>
      </c>
      <c r="D34" s="352">
        <f>IF(VLOOKUP($B34,Datenblatt!$A$43:$A$65,1,1)=$B34,0,VLOOKUP(WEEKDAY($B34),Datenblatt!$I$33:$K$39,3,FALSE))</f>
        <v>8</v>
      </c>
      <c r="E34" s="352">
        <f>IF(VLOOKUP($B34,Datenblatt!$A$43:$A$65,1,1)=$B34,0,IF(WEEKDAY($B34)=7,1,IF(WEEKDAY($B34)=1,0,2)))</f>
        <v>2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46049</v>
      </c>
      <c r="C35" s="157">
        <f t="shared" si="0"/>
        <v>46049</v>
      </c>
      <c r="D35" s="352">
        <f>IF(VLOOKUP($B35,Datenblatt!$A$43:$A$65,1,1)=$B35,0,VLOOKUP(WEEKDAY($B35),Datenblatt!$I$33:$K$39,3,FALSE))</f>
        <v>8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46050</v>
      </c>
      <c r="C36" s="157">
        <f t="shared" si="0"/>
        <v>46050</v>
      </c>
      <c r="D36" s="352">
        <f>IF(VLOOKUP($B36,Datenblatt!$A$43:$A$65,1,1)=$B36,0,VLOOKUP(WEEKDAY($B36),Datenblatt!$I$33:$K$39,3,FALSE))</f>
        <v>8</v>
      </c>
      <c r="E36" s="352">
        <f>IF(VLOOKUP($B36,Datenblatt!$A$43:$A$65,1,1)=$B36,0,IF(WEEKDAY($B36)=7,1,IF(WEEKDAY($B36)=1,0,2)))</f>
        <v>2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46051</v>
      </c>
      <c r="C37" s="157">
        <f t="shared" si="0"/>
        <v>46051</v>
      </c>
      <c r="D37" s="352">
        <f>IF(VLOOKUP($B37,Datenblatt!$A$43:$A$65,1,1)=$B37,0,VLOOKUP(WEEKDAY($B37),Datenblatt!$I$33:$K$39,3,FALSE))</f>
        <v>8</v>
      </c>
      <c r="E37" s="352">
        <f>IF(VLOOKUP($B37,Datenblatt!$A$43:$A$65,1,1)=$B37,0,IF(WEEKDAY($B37)=7,1,IF(WEEKDAY($B37)=1,0,2)))</f>
        <v>2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46052</v>
      </c>
      <c r="C38" s="157">
        <f t="shared" si="0"/>
        <v>46052</v>
      </c>
      <c r="D38" s="352">
        <f>IF(VLOOKUP($B38,Datenblatt!$A$43:$A$65,1,1)=$B38,0,VLOOKUP(WEEKDAY($B38),Datenblatt!$I$33:$K$39,3,FALSE))</f>
        <v>6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>
        <f t="shared" si="4"/>
        <v>46053</v>
      </c>
      <c r="C39" s="157">
        <f t="shared" si="0"/>
        <v>46053</v>
      </c>
      <c r="D39" s="352">
        <f>IF(VLOOKUP($B39,Datenblatt!$A$43:$A$65,1,1)=$B39,0,VLOOKUP(WEEKDAY($B39),Datenblatt!$I$33:$K$39,3,FALSE))</f>
        <v>0</v>
      </c>
      <c r="E39" s="352">
        <f>IF(VLOOKUP($B39,Datenblatt!$A$43:$A$65,1,1)=$B39,0,IF(WEEKDAY($B39)=7,1,IF(WEEKDAY($B39)=1,0,2)))</f>
        <v>1</v>
      </c>
      <c r="F39" s="353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1"/>
        <v/>
      </c>
      <c r="S39" s="168" t="str">
        <f t="shared" si="2"/>
        <v/>
      </c>
      <c r="T39" s="169" t="str">
        <f t="shared" si="3"/>
        <v/>
      </c>
      <c r="U39" s="170"/>
      <c r="V39" s="415" t="str">
        <f>IF(VLOOKUP($B39,Datenblatt!$A$43:$A$66,1,1)=$B39,VLOOKUP($B39,Datenblatt!$A$43:$C$66,3,FALSE)," ")</f>
        <v xml:space="preserve"> </v>
      </c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349"/>
      <c r="E40" s="349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20  Arbeitstage in diesem Monat</v>
      </c>
      <c r="C41" s="183"/>
      <c r="D41" s="184"/>
      <c r="E41" s="184"/>
      <c r="F41" s="184"/>
      <c r="G41" s="185"/>
      <c r="H41" s="24"/>
      <c r="I41" s="66"/>
      <c r="J41" s="66"/>
      <c r="K41" s="66"/>
      <c r="L41" s="66"/>
      <c r="M41" s="24" t="str">
        <f>"Sollstunden für Januar "&amp;Datenblatt!$F$5&amp;":"</f>
        <v>Sollstunden für Januar 2026:</v>
      </c>
      <c r="N41" s="66"/>
      <c r="O41" s="66"/>
      <c r="P41" s="186"/>
      <c r="R41" s="187"/>
      <c r="S41" s="403">
        <f>SUM(D9:D39)</f>
        <v>150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Januar "&amp;Datenblatt!F5&amp;":   ","Zeitdefizit im Monat Januar "&amp;Datenblatt!F5&amp;":   ")</f>
        <v xml:space="preserve">Zeitdefizit im Monat Januar 2026:   </v>
      </c>
      <c r="N42" s="189"/>
      <c r="O42" s="189"/>
      <c r="R42" s="190"/>
      <c r="S42" s="397">
        <f>T40-SUM(D9:D39)</f>
        <v>-150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Dezember "&amp;Datenblatt!F5-1&amp;":   ","  - Zeitdefizit aus Dezember "&amp;Datenblatt!F5-1&amp;":   ")</f>
        <v xml:space="preserve">  + Zeitguthaben aus Dezember 2025:   </v>
      </c>
      <c r="S43" s="398">
        <f>Datenblatt!$D$13</f>
        <v>0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Februar "&amp;Datenblatt!F5</f>
        <v>Übertrag für Februar 2026</v>
      </c>
      <c r="R44" s="195"/>
      <c r="S44" s="399">
        <f>S43+S42-I42</f>
        <v>-150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2244" priority="1" stopIfTrue="1" operator="equal">
      <formula>MATCH($E15,0)</formula>
    </cfRule>
    <cfRule type="expression" dxfId="2243" priority="2" stopIfTrue="1">
      <formula>"WOCHENTAG($B8)=1"</formula>
    </cfRule>
    <cfRule type="expression" dxfId="2242" priority="3" stopIfTrue="1">
      <formula>"WOCHENTAG($B8)=7"</formula>
    </cfRule>
  </conditionalFormatting>
  <conditionalFormatting sqref="B9:C9">
    <cfRule type="expression" dxfId="2241" priority="68" stopIfTrue="1">
      <formula>($E$9=1)</formula>
    </cfRule>
  </conditionalFormatting>
  <conditionalFormatting sqref="B10:C10">
    <cfRule type="expression" dxfId="2240" priority="71" stopIfTrue="1">
      <formula>($E$10=1)</formula>
    </cfRule>
  </conditionalFormatting>
  <conditionalFormatting sqref="B11:C11">
    <cfRule type="expression" dxfId="2239" priority="74" stopIfTrue="1">
      <formula>($E$11=1)</formula>
    </cfRule>
  </conditionalFormatting>
  <conditionalFormatting sqref="B12:C12">
    <cfRule type="expression" dxfId="2238" priority="77" stopIfTrue="1">
      <formula>($E$12=1)</formula>
    </cfRule>
  </conditionalFormatting>
  <conditionalFormatting sqref="B13:C13">
    <cfRule type="expression" dxfId="2237" priority="80" stopIfTrue="1">
      <formula>($E$13=1)</formula>
    </cfRule>
  </conditionalFormatting>
  <conditionalFormatting sqref="B14:C14">
    <cfRule type="expression" dxfId="2236" priority="83" stopIfTrue="1">
      <formula>($E$14=1)</formula>
    </cfRule>
  </conditionalFormatting>
  <conditionalFormatting sqref="B15:C15">
    <cfRule type="expression" dxfId="2235" priority="86" stopIfTrue="1">
      <formula>($E$15=1)</formula>
    </cfRule>
  </conditionalFormatting>
  <conditionalFormatting sqref="B16:C16">
    <cfRule type="expression" dxfId="2234" priority="89" stopIfTrue="1">
      <formula>($E$16=1)</formula>
    </cfRule>
  </conditionalFormatting>
  <conditionalFormatting sqref="B17:C17">
    <cfRule type="expression" dxfId="2233" priority="92" stopIfTrue="1">
      <formula>($E$17=1)</formula>
    </cfRule>
  </conditionalFormatting>
  <conditionalFormatting sqref="B18:C18">
    <cfRule type="expression" dxfId="2232" priority="95" stopIfTrue="1">
      <formula>($E$18=1)</formula>
    </cfRule>
  </conditionalFormatting>
  <conditionalFormatting sqref="B19:C19">
    <cfRule type="expression" dxfId="2231" priority="98" stopIfTrue="1">
      <formula>($E$19=1)</formula>
    </cfRule>
  </conditionalFormatting>
  <conditionalFormatting sqref="B20:C20">
    <cfRule type="expression" dxfId="2230" priority="101" stopIfTrue="1">
      <formula>($E$20=1)</formula>
    </cfRule>
  </conditionalFormatting>
  <conditionalFormatting sqref="B21:C21">
    <cfRule type="expression" dxfId="2229" priority="104" stopIfTrue="1">
      <formula>($E$21=1)</formula>
    </cfRule>
  </conditionalFormatting>
  <conditionalFormatting sqref="B22:C22">
    <cfRule type="expression" dxfId="2228" priority="107" stopIfTrue="1">
      <formula>($E$22=1)</formula>
    </cfRule>
  </conditionalFormatting>
  <conditionalFormatting sqref="B23:C23">
    <cfRule type="expression" dxfId="2227" priority="110" stopIfTrue="1">
      <formula>($E$23=1)</formula>
    </cfRule>
  </conditionalFormatting>
  <conditionalFormatting sqref="B24:C24">
    <cfRule type="expression" dxfId="2226" priority="113" stopIfTrue="1">
      <formula>($E$24=1)</formula>
    </cfRule>
  </conditionalFormatting>
  <conditionalFormatting sqref="B25:C25">
    <cfRule type="expression" dxfId="2225" priority="116" stopIfTrue="1">
      <formula>($E$25=1)</formula>
    </cfRule>
  </conditionalFormatting>
  <conditionalFormatting sqref="B26:C26">
    <cfRule type="expression" dxfId="2224" priority="119" stopIfTrue="1">
      <formula>($E$26=1)</formula>
    </cfRule>
  </conditionalFormatting>
  <conditionalFormatting sqref="B27:C27">
    <cfRule type="expression" dxfId="2223" priority="122" stopIfTrue="1">
      <formula>($E$27=1)</formula>
    </cfRule>
  </conditionalFormatting>
  <conditionalFormatting sqref="B28:C28">
    <cfRule type="expression" dxfId="2222" priority="125" stopIfTrue="1">
      <formula>($E$28=1)</formula>
    </cfRule>
  </conditionalFormatting>
  <conditionalFormatting sqref="B29:C29">
    <cfRule type="expression" dxfId="2221" priority="128" stopIfTrue="1">
      <formula>($E$29=1)</formula>
    </cfRule>
  </conditionalFormatting>
  <conditionalFormatting sqref="B30:C30">
    <cfRule type="expression" dxfId="2220" priority="131" stopIfTrue="1">
      <formula>($E$30=1)</formula>
    </cfRule>
  </conditionalFormatting>
  <conditionalFormatting sqref="B31:C31">
    <cfRule type="expression" dxfId="2219" priority="134" stopIfTrue="1">
      <formula>($E$31=1)</formula>
    </cfRule>
  </conditionalFormatting>
  <conditionalFormatting sqref="B32:C32">
    <cfRule type="expression" dxfId="2218" priority="137" stopIfTrue="1">
      <formula>($E$32=1)</formula>
    </cfRule>
  </conditionalFormatting>
  <conditionalFormatting sqref="B33:C33">
    <cfRule type="expression" dxfId="2217" priority="140" stopIfTrue="1">
      <formula>($E$33=1)</formula>
    </cfRule>
  </conditionalFormatting>
  <conditionalFormatting sqref="B34:C34">
    <cfRule type="expression" dxfId="2216" priority="143" stopIfTrue="1">
      <formula>($E$34=1)</formula>
    </cfRule>
  </conditionalFormatting>
  <conditionalFormatting sqref="B35:C35">
    <cfRule type="expression" dxfId="2215" priority="146" stopIfTrue="1">
      <formula>($E$35=1)</formula>
    </cfRule>
  </conditionalFormatting>
  <conditionalFormatting sqref="B36:C36">
    <cfRule type="expression" dxfId="2214" priority="149" stopIfTrue="1">
      <formula>($E$36=1)</formula>
    </cfRule>
  </conditionalFormatting>
  <conditionalFormatting sqref="B37:C37">
    <cfRule type="expression" dxfId="2213" priority="152" stopIfTrue="1">
      <formula>($E$37=1)</formula>
    </cfRule>
  </conditionalFormatting>
  <conditionalFormatting sqref="B38:C38">
    <cfRule type="expression" dxfId="2212" priority="155" stopIfTrue="1">
      <formula>($E$38=1)</formula>
    </cfRule>
  </conditionalFormatting>
  <conditionalFormatting sqref="B39:C39">
    <cfRule type="expression" dxfId="2211" priority="158" stopIfTrue="1">
      <formula>($E$39=1)</formula>
    </cfRule>
  </conditionalFormatting>
  <conditionalFormatting sqref="B9:T9 V9">
    <cfRule type="expression" dxfId="2210" priority="5" stopIfTrue="1">
      <formula>($D$9="Ersatzruhetag")</formula>
    </cfRule>
    <cfRule type="expression" dxfId="2209" priority="4" stopIfTrue="1">
      <formula>($E$9=0)</formula>
    </cfRule>
  </conditionalFormatting>
  <conditionalFormatting sqref="B10:T10 V10">
    <cfRule type="expression" dxfId="2208" priority="7" stopIfTrue="1">
      <formula>($D$10="Ersatzruhetag")</formula>
    </cfRule>
    <cfRule type="expression" dxfId="2207" priority="6" stopIfTrue="1">
      <formula>($E$10=0)</formula>
    </cfRule>
  </conditionalFormatting>
  <conditionalFormatting sqref="B11:T11 V11">
    <cfRule type="expression" dxfId="2206" priority="9" stopIfTrue="1">
      <formula>($D$11="Ersatzruhetag")</formula>
    </cfRule>
    <cfRule type="expression" dxfId="2205" priority="8" stopIfTrue="1">
      <formula>($E$11=0)</formula>
    </cfRule>
  </conditionalFormatting>
  <conditionalFormatting sqref="B12:T12 V12">
    <cfRule type="expression" dxfId="2204" priority="11" stopIfTrue="1">
      <formula>($D$12="Ersatzruhetag")</formula>
    </cfRule>
    <cfRule type="expression" dxfId="2203" priority="10" stopIfTrue="1">
      <formula>($E$12=0)</formula>
    </cfRule>
  </conditionalFormatting>
  <conditionalFormatting sqref="B13:T13 V13">
    <cfRule type="expression" dxfId="2202" priority="12" stopIfTrue="1">
      <formula>($E$13=0)</formula>
    </cfRule>
    <cfRule type="expression" dxfId="2201" priority="13" stopIfTrue="1">
      <formula>($D$13="Ersatzruhetag")</formula>
    </cfRule>
  </conditionalFormatting>
  <conditionalFormatting sqref="B14:T14 V14">
    <cfRule type="expression" dxfId="2200" priority="14" stopIfTrue="1">
      <formula>($E$14=0)</formula>
    </cfRule>
    <cfRule type="expression" dxfId="2199" priority="15" stopIfTrue="1">
      <formula>($D$14="Ersatzruhetag")</formula>
    </cfRule>
  </conditionalFormatting>
  <conditionalFormatting sqref="B15:T15 V15">
    <cfRule type="expression" dxfId="2198" priority="16" stopIfTrue="1">
      <formula>($E$15=0)</formula>
    </cfRule>
    <cfRule type="expression" dxfId="2197" priority="17" stopIfTrue="1">
      <formula>($D$15="Ersatzruhetag")</formula>
    </cfRule>
  </conditionalFormatting>
  <conditionalFormatting sqref="B16:T16 V16">
    <cfRule type="expression" dxfId="2196" priority="18" stopIfTrue="1">
      <formula>($E$16=0)</formula>
    </cfRule>
    <cfRule type="expression" dxfId="2195" priority="19" stopIfTrue="1">
      <formula>($D$16="Ersatzruhetag")</formula>
    </cfRule>
  </conditionalFormatting>
  <conditionalFormatting sqref="B17:T17 V17">
    <cfRule type="expression" dxfId="2194" priority="21" stopIfTrue="1">
      <formula>($D$17="Ersatzruhetag")</formula>
    </cfRule>
    <cfRule type="expression" dxfId="2193" priority="20" stopIfTrue="1">
      <formula>($E$17=0)</formula>
    </cfRule>
  </conditionalFormatting>
  <conditionalFormatting sqref="B18:T18 V18">
    <cfRule type="expression" dxfId="2192" priority="22" stopIfTrue="1">
      <formula>($E$18=0)</formula>
    </cfRule>
    <cfRule type="expression" dxfId="2191" priority="23" stopIfTrue="1">
      <formula>($D$18="Ersatzruhetag")</formula>
    </cfRule>
  </conditionalFormatting>
  <conditionalFormatting sqref="B19:T19 V19">
    <cfRule type="expression" dxfId="2190" priority="25" stopIfTrue="1">
      <formula>($D$19="Ersatzruhetag")</formula>
    </cfRule>
    <cfRule type="expression" dxfId="2189" priority="24" stopIfTrue="1">
      <formula>($E$19=0)</formula>
    </cfRule>
  </conditionalFormatting>
  <conditionalFormatting sqref="B20:T20 V20">
    <cfRule type="expression" dxfId="2188" priority="26" stopIfTrue="1">
      <formula>($E$20=0)</formula>
    </cfRule>
    <cfRule type="expression" dxfId="2187" priority="27" stopIfTrue="1">
      <formula>($D$20="Ersatzruhetag")</formula>
    </cfRule>
  </conditionalFormatting>
  <conditionalFormatting sqref="B21:T21 V21">
    <cfRule type="expression" dxfId="2186" priority="28" stopIfTrue="1">
      <formula>($E$21=0)</formula>
    </cfRule>
    <cfRule type="expression" dxfId="2185" priority="29" stopIfTrue="1">
      <formula>($D$21="Ersatzruhetag")</formula>
    </cfRule>
  </conditionalFormatting>
  <conditionalFormatting sqref="B22:T22 V22">
    <cfRule type="expression" dxfId="2184" priority="30" stopIfTrue="1">
      <formula>($E$22=0)</formula>
    </cfRule>
    <cfRule type="expression" dxfId="2183" priority="31" stopIfTrue="1">
      <formula>($D$22="Ersatzruhetag")</formula>
    </cfRule>
  </conditionalFormatting>
  <conditionalFormatting sqref="B23:T23 V23">
    <cfRule type="expression" dxfId="2182" priority="32" stopIfTrue="1">
      <formula>($E$23=0)</formula>
    </cfRule>
    <cfRule type="expression" dxfId="2181" priority="33" stopIfTrue="1">
      <formula>($D$23="Ersatzruhetag")</formula>
    </cfRule>
  </conditionalFormatting>
  <conditionalFormatting sqref="B24:T24 V24">
    <cfRule type="expression" dxfId="2180" priority="34" stopIfTrue="1">
      <formula>($E$24=0)</formula>
    </cfRule>
    <cfRule type="expression" dxfId="2179" priority="35" stopIfTrue="1">
      <formula>($D$24="Ersatzruhetag")</formula>
    </cfRule>
  </conditionalFormatting>
  <conditionalFormatting sqref="B25:T25 V25">
    <cfRule type="expression" dxfId="2178" priority="37" stopIfTrue="1">
      <formula>($D$25="Ersatzruhetag")</formula>
    </cfRule>
    <cfRule type="expression" dxfId="2177" priority="36" stopIfTrue="1">
      <formula>($E$25=0)</formula>
    </cfRule>
  </conditionalFormatting>
  <conditionalFormatting sqref="B26:T26 V26">
    <cfRule type="expression" dxfId="2176" priority="38" stopIfTrue="1">
      <formula>($E$26=0)</formula>
    </cfRule>
    <cfRule type="expression" dxfId="2175" priority="39" stopIfTrue="1">
      <formula>($D$26="Ersatzruhetag")</formula>
    </cfRule>
  </conditionalFormatting>
  <conditionalFormatting sqref="B27:T27 V27">
    <cfRule type="expression" dxfId="2174" priority="40" stopIfTrue="1">
      <formula>($E$27=0)</formula>
    </cfRule>
    <cfRule type="expression" dxfId="2173" priority="41" stopIfTrue="1">
      <formula>($D$27="Ersatzruhetag")</formula>
    </cfRule>
  </conditionalFormatting>
  <conditionalFormatting sqref="B28:T28 V28">
    <cfRule type="expression" dxfId="2172" priority="43" stopIfTrue="1">
      <formula>($D$28="Ersatzruhetag")</formula>
    </cfRule>
    <cfRule type="expression" dxfId="2171" priority="42" stopIfTrue="1">
      <formula>($E$28=0)</formula>
    </cfRule>
  </conditionalFormatting>
  <conditionalFormatting sqref="B29:T29 V29">
    <cfRule type="expression" dxfId="2170" priority="44" stopIfTrue="1">
      <formula>($E$29=0)</formula>
    </cfRule>
    <cfRule type="expression" dxfId="2169" priority="45" stopIfTrue="1">
      <formula>($D$29="Ersatzruhetag")</formula>
    </cfRule>
  </conditionalFormatting>
  <conditionalFormatting sqref="B30:T30 V30">
    <cfRule type="expression" dxfId="2168" priority="46" stopIfTrue="1">
      <formula>($E$30=0)</formula>
    </cfRule>
    <cfRule type="expression" dxfId="2167" priority="47" stopIfTrue="1">
      <formula>($D$30="Ersatzruhetag")</formula>
    </cfRule>
  </conditionalFormatting>
  <conditionalFormatting sqref="B31:T31 V31">
    <cfRule type="expression" dxfId="2166" priority="48" stopIfTrue="1">
      <formula>($E$31=0)</formula>
    </cfRule>
    <cfRule type="expression" dxfId="2165" priority="49" stopIfTrue="1">
      <formula>($D$31="Ersatzruhetag")</formula>
    </cfRule>
  </conditionalFormatting>
  <conditionalFormatting sqref="B32:T32 V32">
    <cfRule type="expression" dxfId="2164" priority="51" stopIfTrue="1">
      <formula>($D$32="Ersatzruhetag")</formula>
    </cfRule>
    <cfRule type="expression" dxfId="2163" priority="50" stopIfTrue="1">
      <formula>($E$32=0)</formula>
    </cfRule>
  </conditionalFormatting>
  <conditionalFormatting sqref="B33:T33 V33">
    <cfRule type="expression" dxfId="2162" priority="53" stopIfTrue="1">
      <formula>($D$33="Ersatzruhetag")</formula>
    </cfRule>
    <cfRule type="expression" dxfId="2161" priority="52" stopIfTrue="1">
      <formula>($E$33=0)</formula>
    </cfRule>
  </conditionalFormatting>
  <conditionalFormatting sqref="B34:T34 V34">
    <cfRule type="expression" dxfId="2160" priority="55" stopIfTrue="1">
      <formula>($D$34="Ersatzruhetag")</formula>
    </cfRule>
    <cfRule type="expression" dxfId="2159" priority="54" stopIfTrue="1">
      <formula>($E$34=0)</formula>
    </cfRule>
  </conditionalFormatting>
  <conditionalFormatting sqref="B35:T35 V35">
    <cfRule type="expression" dxfId="2158" priority="57" stopIfTrue="1">
      <formula>($D$35="Ersatzruhetag")</formula>
    </cfRule>
    <cfRule type="expression" dxfId="2157" priority="56" stopIfTrue="1">
      <formula>($E$35=0)</formula>
    </cfRule>
  </conditionalFormatting>
  <conditionalFormatting sqref="B36:T36 V36">
    <cfRule type="expression" dxfId="2156" priority="59" stopIfTrue="1">
      <formula>($D$36="Ersatzruhetag")</formula>
    </cfRule>
    <cfRule type="expression" dxfId="2155" priority="58" stopIfTrue="1">
      <formula>($E$36=0)</formula>
    </cfRule>
  </conditionalFormatting>
  <conditionalFormatting sqref="B37:T37 V37">
    <cfRule type="expression" dxfId="2154" priority="61" stopIfTrue="1">
      <formula>($D$37="Ersatzruhetag")</formula>
    </cfRule>
    <cfRule type="expression" dxfId="2153" priority="60" stopIfTrue="1">
      <formula>($E$37=0)</formula>
    </cfRule>
  </conditionalFormatting>
  <conditionalFormatting sqref="B38:T38 V38">
    <cfRule type="expression" dxfId="2152" priority="63" stopIfTrue="1">
      <formula>($D$38="Ersatzruhetag")</formula>
    </cfRule>
    <cfRule type="expression" dxfId="2151" priority="62" stopIfTrue="1">
      <formula>($E$38=0)</formula>
    </cfRule>
  </conditionalFormatting>
  <conditionalFormatting sqref="B39:T39 V39">
    <cfRule type="expression" dxfId="2150" priority="65" stopIfTrue="1">
      <formula>($D$39="Ersatzruhetag")</formula>
    </cfRule>
    <cfRule type="expression" dxfId="2149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D11:E3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J30" sqref="J30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5" width="0.140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DATE(Datenblatt!F5,2,1)</f>
        <v>46054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"&amp;Datenblatt!$N$33&amp;";"&amp;"    Di: "&amp;Datenblatt!$N$34&amp;";"&amp;"    Mi: "&amp;Datenblatt!$N$35&amp;";"&amp;"    Do: "&amp;Datenblatt!$N$36&amp;";"&amp;"    Fr: "&amp;Datenblatt!$N$37&amp;";"&amp;"    Sa: "&amp;Datenblatt!$N$38&amp;";"&amp;"    So: "&amp;Datenblatt!$N$39&amp;""&amp;"     -    Wochenarbeitszeit:  "&amp;Datenblatt!$N$40&amp;"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Jän!T5+Datenblatt!N41</f>
        <v>190</v>
      </c>
      <c r="U4" s="405"/>
      <c r="V4" s="141"/>
      <c r="W4" s="142" t="str">
        <f>"Urlaubsanspruch per 01.02."&amp;Datenblatt!$F$5</f>
        <v>Urlaubsanspruch per 01.02.2026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"&amp;IF(Datenblatt!N42=1,Datenblatt!D34,IF(Datenblatt!N42=2,Datenblatt!D35,IF(Datenblatt!N42=3,Datenblatt!D36,IF(Datenblatt!N42=4,Datenblatt!D37))))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190</v>
      </c>
      <c r="U5" s="405"/>
      <c r="V5" s="141"/>
      <c r="W5" s="143" t="str">
        <f>"Resturlaub per Ende Feber "&amp;Datenblatt!$F$5</f>
        <v>Resturlaub per Ende Feber 2026</v>
      </c>
      <c r="X5" s="124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46054</v>
      </c>
      <c r="C9" s="157">
        <f t="shared" ref="C9:C37" si="0">B9</f>
        <v>46054</v>
      </c>
      <c r="D9" s="350">
        <f>IF(VLOOKUP($B9,Datenblatt!$A$43:$A$65,1,1)=$B9,0,VLOOKUP(WEEKDAY($B9),Datenblatt!$L$33:$N$39,3,FALSE))</f>
        <v>0</v>
      </c>
      <c r="E9" s="350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6" si="4">B9+1</f>
        <v>46055</v>
      </c>
      <c r="C10" s="157">
        <f t="shared" si="0"/>
        <v>46055</v>
      </c>
      <c r="D10" s="351">
        <f>IF(VLOOKUP($B10,Datenblatt!$A$43:$A$65,1,1)=$B10,0,VLOOKUP(WEEKDAY($B10),Datenblatt!$L$33:$N$39,3,FALSE))</f>
        <v>8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46056</v>
      </c>
      <c r="C11" s="157">
        <f t="shared" si="0"/>
        <v>46056</v>
      </c>
      <c r="D11" s="352">
        <f>IF(VLOOKUP($B11,Datenblatt!$A$43:$A$65,1,1)=$B11,0,VLOOKUP(WEEKDAY($B11),Datenblatt!$L$33:$N$39,3,FALSE))</f>
        <v>8</v>
      </c>
      <c r="E11" s="352">
        <f>IF(VLOOKUP($B11,Datenblatt!$A$43:$A$65,1,1)=$B11,0,IF(WEEKDAY($B11)=7,1,IF(WEEKDAY($B11)=1,0,2)))</f>
        <v>2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46057</v>
      </c>
      <c r="C12" s="157">
        <f t="shared" si="0"/>
        <v>46057</v>
      </c>
      <c r="D12" s="352">
        <f>IF(VLOOKUP($B12,Datenblatt!$A$43:$A$65,1,1)=$B12,0,VLOOKUP(WEEKDAY($B12),Datenblatt!$L$33:$N$39,3,FALSE))</f>
        <v>8</v>
      </c>
      <c r="E12" s="352">
        <f>IF(VLOOKUP($B12,Datenblatt!$A$43:$A$65,1,1)=$B12,0,IF(WEEKDAY($B12)=7,1,IF(WEEKDAY($B12)=1,0,2)))</f>
        <v>2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46058</v>
      </c>
      <c r="C13" s="157">
        <f t="shared" si="0"/>
        <v>46058</v>
      </c>
      <c r="D13" s="352">
        <f>IF(VLOOKUP($B13,Datenblatt!$A$43:$A$65,1,1)=$B13,0,VLOOKUP(WEEKDAY($B13),Datenblatt!$L$33:$N$39,3,FALSE))</f>
        <v>8</v>
      </c>
      <c r="E13" s="352">
        <f>IF(VLOOKUP($B13,Datenblatt!$A$43:$A$65,1,1)=$B13,0,IF(WEEKDAY($B13)=7,1,IF(WEEKDAY($B13)=1,0,2)))</f>
        <v>2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46059</v>
      </c>
      <c r="C14" s="157">
        <f t="shared" si="0"/>
        <v>46059</v>
      </c>
      <c r="D14" s="352">
        <f>IF(VLOOKUP($B14,Datenblatt!$A$43:$A$65,1,1)=$B14,0,VLOOKUP(WEEKDAY($B14),Datenblatt!$L$33:$N$39,3,FALSE))</f>
        <v>6</v>
      </c>
      <c r="E14" s="352">
        <f>IF(VLOOKUP($B14,Datenblatt!$A$43:$A$65,1,1)=$B14,0,IF(WEEKDAY($B14)=7,1,IF(WEEKDAY($B14)=1,0,2)))</f>
        <v>2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46060</v>
      </c>
      <c r="C15" s="157">
        <f t="shared" si="0"/>
        <v>46060</v>
      </c>
      <c r="D15" s="352">
        <f>IF(VLOOKUP($B15,Datenblatt!$A$43:$A$65,1,1)=$B15,0,VLOOKUP(WEEKDAY($B15),Datenblatt!$L$33:$N$39,3,FALSE))</f>
        <v>0</v>
      </c>
      <c r="E15" s="352">
        <f>IF(VLOOKUP($B15,Datenblatt!$A$43:$A$65,1,1)=$B15,0,IF(WEEKDAY($B15)=7,1,IF(WEEKDAY($B15)=1,0,2)))</f>
        <v>1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46061</v>
      </c>
      <c r="C16" s="157">
        <f t="shared" si="0"/>
        <v>46061</v>
      </c>
      <c r="D16" s="352">
        <f>IF(VLOOKUP($B16,Datenblatt!$A$43:$A$65,1,1)=$B16,0,VLOOKUP(WEEKDAY($B16),Datenblatt!$L$33:$N$39,3,FALSE))</f>
        <v>0</v>
      </c>
      <c r="E16" s="352">
        <f>IF(VLOOKUP($B16,Datenblatt!$A$43:$A$65,1,1)=$B16,0,IF(WEEKDAY($B16)=7,1,IF(WEEKDAY($B16)=1,0,2)))</f>
        <v>0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46062</v>
      </c>
      <c r="C17" s="157">
        <f t="shared" si="0"/>
        <v>46062</v>
      </c>
      <c r="D17" s="352">
        <f>IF(VLOOKUP($B17,Datenblatt!$A$43:$A$65,1,1)=$B17,0,VLOOKUP(WEEKDAY($B17),Datenblatt!$L$33:$N$39,3,FALSE))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46063</v>
      </c>
      <c r="C18" s="157">
        <f t="shared" si="0"/>
        <v>46063</v>
      </c>
      <c r="D18" s="352">
        <f>IF(VLOOKUP($B18,Datenblatt!$A$43:$A$65,1,1)=$B18,0,VLOOKUP(WEEKDAY($B18),Datenblatt!$L$33:$N$39,3,FALSE))</f>
        <v>8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46064</v>
      </c>
      <c r="C19" s="157">
        <f t="shared" si="0"/>
        <v>46064</v>
      </c>
      <c r="D19" s="352">
        <f>IF(VLOOKUP($B19,Datenblatt!$A$43:$A$65,1,1)=$B19,0,VLOOKUP(WEEKDAY($B19),Datenblatt!$L$33:$N$39,3,FALSE))</f>
        <v>8</v>
      </c>
      <c r="E19" s="352">
        <f>IF(VLOOKUP($B19,Datenblatt!$A$43:$A$65,1,1)=$B19,0,IF(WEEKDAY($B19)=7,1,IF(WEEKDAY($B19)=1,0,2)))</f>
        <v>2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46065</v>
      </c>
      <c r="C20" s="157">
        <f t="shared" si="0"/>
        <v>46065</v>
      </c>
      <c r="D20" s="352">
        <f>IF(VLOOKUP($B20,Datenblatt!$A$43:$A$65,1,1)=$B20,0,VLOOKUP(WEEKDAY($B20),Datenblatt!$L$33:$N$39,3,FALSE))</f>
        <v>8</v>
      </c>
      <c r="E20" s="352">
        <f>IF(VLOOKUP($B20,Datenblatt!$A$43:$A$65,1,1)=$B20,0,IF(WEEKDAY($B20)=7,1,IF(WEEKDAY($B20)=1,0,2)))</f>
        <v>2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46066</v>
      </c>
      <c r="C21" s="157">
        <f t="shared" si="0"/>
        <v>46066</v>
      </c>
      <c r="D21" s="352">
        <f>IF(VLOOKUP($B21,Datenblatt!$A$43:$A$65,1,1)=$B21,0,VLOOKUP(WEEKDAY($B21),Datenblatt!$L$33:$N$39,3,FALSE))</f>
        <v>6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46067</v>
      </c>
      <c r="C22" s="157">
        <f t="shared" si="0"/>
        <v>46067</v>
      </c>
      <c r="D22" s="352">
        <f>IF(VLOOKUP($B22,Datenblatt!$A$43:$A$65,1,1)=$B22,0,VLOOKUP(WEEKDAY($B22),Datenblatt!$L$33:$N$39,3,FALSE))</f>
        <v>0</v>
      </c>
      <c r="E22" s="352">
        <f>IF(VLOOKUP($B22,Datenblatt!$A$43:$A$65,1,1)=$B22,0,IF(WEEKDAY($B22)=7,1,IF(WEEKDAY($B22)=1,0,2)))</f>
        <v>1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46068</v>
      </c>
      <c r="C23" s="157">
        <f t="shared" si="0"/>
        <v>46068</v>
      </c>
      <c r="D23" s="352">
        <f>IF(VLOOKUP($B23,Datenblatt!$A$43:$A$65,1,1)=$B23,0,VLOOKUP(WEEKDAY($B23),Datenblatt!$L$33:$N$39,3,FALSE))</f>
        <v>0</v>
      </c>
      <c r="E23" s="352">
        <f>IF(VLOOKUP($B23,Datenblatt!$A$43:$A$65,1,1)=$B23,0,IF(WEEKDAY($B23)=7,1,IF(WEEKDAY($B23)=1,0,2)))</f>
        <v>0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46069</v>
      </c>
      <c r="C24" s="157">
        <f t="shared" si="0"/>
        <v>46069</v>
      </c>
      <c r="D24" s="352">
        <f>IF(VLOOKUP($B24,Datenblatt!$A$43:$A$65,1,1)=$B24,0,VLOOKUP(WEEKDAY($B24),Datenblatt!$L$33:$N$39,3,FALSE))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46070</v>
      </c>
      <c r="C25" s="157">
        <f t="shared" si="0"/>
        <v>46070</v>
      </c>
      <c r="D25" s="352">
        <f>IF(VLOOKUP($B25,Datenblatt!$A$43:$A$65,1,1)=$B25,0,VLOOKUP(WEEKDAY($B25),Datenblatt!$L$33:$N$39,3,FALSE))</f>
        <v>8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46071</v>
      </c>
      <c r="C26" s="157">
        <f t="shared" si="0"/>
        <v>46071</v>
      </c>
      <c r="D26" s="352">
        <f>IF(VLOOKUP($B26,Datenblatt!$A$43:$A$65,1,1)=$B26,0,VLOOKUP(WEEKDAY($B26),Datenblatt!$L$33:$N$39,3,FALSE))</f>
        <v>8</v>
      </c>
      <c r="E26" s="352">
        <f>IF(VLOOKUP($B26,Datenblatt!$A$43:$A$65,1,1)=$B26,0,IF(WEEKDAY($B26)=7,1,IF(WEEKDAY($B26)=1,0,2)))</f>
        <v>2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46072</v>
      </c>
      <c r="C27" s="157">
        <f t="shared" si="0"/>
        <v>46072</v>
      </c>
      <c r="D27" s="352">
        <f>IF(VLOOKUP($B27,Datenblatt!$A$43:$A$65,1,1)=$B27,0,VLOOKUP(WEEKDAY($B27),Datenblatt!$L$33:$N$39,3,FALSE))</f>
        <v>8</v>
      </c>
      <c r="E27" s="352">
        <f>IF(VLOOKUP($B27,Datenblatt!$A$43:$A$65,1,1)=$B27,0,IF(WEEKDAY($B27)=7,1,IF(WEEKDAY($B27)=1,0,2)))</f>
        <v>2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46073</v>
      </c>
      <c r="C28" s="157">
        <f t="shared" si="0"/>
        <v>46073</v>
      </c>
      <c r="D28" s="352">
        <f>IF(VLOOKUP($B28,Datenblatt!$A$43:$A$65,1,1)=$B28,0,VLOOKUP(WEEKDAY($B28),Datenblatt!$L$33:$N$39,3,FALSE))</f>
        <v>6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46074</v>
      </c>
      <c r="C29" s="157">
        <f t="shared" si="0"/>
        <v>46074</v>
      </c>
      <c r="D29" s="352">
        <f>IF(VLOOKUP($B29,Datenblatt!$A$43:$A$65,1,1)=$B29,0,VLOOKUP(WEEKDAY($B29),Datenblatt!$L$33:$N$39,3,FALSE))</f>
        <v>0</v>
      </c>
      <c r="E29" s="352">
        <f>IF(VLOOKUP($B29,Datenblatt!$A$43:$A$65,1,1)=$B29,0,IF(WEEKDAY($B29)=7,1,IF(WEEKDAY($B29)=1,0,2)))</f>
        <v>1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46075</v>
      </c>
      <c r="C30" s="157">
        <f t="shared" si="0"/>
        <v>46075</v>
      </c>
      <c r="D30" s="352">
        <f>IF(VLOOKUP($B30,Datenblatt!$A$43:$A$65,1,1)=$B30,0,VLOOKUP(WEEKDAY($B30),Datenblatt!$L$33:$N$39,3,FALSE))</f>
        <v>0</v>
      </c>
      <c r="E30" s="352">
        <f>IF(VLOOKUP($B30,Datenblatt!$A$43:$A$65,1,1)=$B30,0,IF(WEEKDAY($B30)=7,1,IF(WEEKDAY($B30)=1,0,2)))</f>
        <v>0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46076</v>
      </c>
      <c r="C31" s="157">
        <f t="shared" si="0"/>
        <v>46076</v>
      </c>
      <c r="D31" s="352">
        <f>IF(VLOOKUP($B31,Datenblatt!$A$43:$A$65,1,1)=$B31,0,VLOOKUP(WEEKDAY($B31),Datenblatt!$L$33:$N$39,3,FALSE))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46077</v>
      </c>
      <c r="C32" s="157">
        <f t="shared" si="0"/>
        <v>46077</v>
      </c>
      <c r="D32" s="352">
        <f>IF(VLOOKUP($B32,Datenblatt!$A$43:$A$65,1,1)=$B32,0,VLOOKUP(WEEKDAY($B32),Datenblatt!$L$33:$N$39,3,FALSE))</f>
        <v>8</v>
      </c>
      <c r="E32" s="352">
        <f>IF(VLOOKUP($B32,Datenblatt!$A$43:$A$65,1,1)=$B32,0,IF(WEEKDAY($B32)=7,1,IF(WEEKDAY($B32)=1,0,2)))</f>
        <v>2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46078</v>
      </c>
      <c r="C33" s="157">
        <f t="shared" si="0"/>
        <v>46078</v>
      </c>
      <c r="D33" s="352">
        <f>IF(VLOOKUP($B33,Datenblatt!$A$43:$A$65,1,1)=$B33,0,VLOOKUP(WEEKDAY($B33),Datenblatt!$L$33:$N$39,3,FALSE))</f>
        <v>8</v>
      </c>
      <c r="E33" s="352">
        <f>IF(VLOOKUP($B33,Datenblatt!$A$43:$A$65,1,1)=$B33,0,IF(WEEKDAY($B33)=7,1,IF(WEEKDAY($B33)=1,0,2)))</f>
        <v>2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46079</v>
      </c>
      <c r="C34" s="157">
        <f t="shared" si="0"/>
        <v>46079</v>
      </c>
      <c r="D34" s="352">
        <f>IF(VLOOKUP($B34,Datenblatt!$A$43:$A$65,1,1)=$B34,0,VLOOKUP(WEEKDAY($B34),Datenblatt!$L$33:$N$39,3,FALSE))</f>
        <v>8</v>
      </c>
      <c r="E34" s="352">
        <f>IF(VLOOKUP($B34,Datenblatt!$A$43:$A$65,1,1)=$B34,0,IF(WEEKDAY($B34)=7,1,IF(WEEKDAY($B34)=1,0,2)))</f>
        <v>2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46080</v>
      </c>
      <c r="C35" s="157">
        <f t="shared" si="0"/>
        <v>46080</v>
      </c>
      <c r="D35" s="352">
        <f>IF(VLOOKUP($B35,Datenblatt!$A$43:$A$65,1,1)=$B35,0,VLOOKUP(WEEKDAY($B35),Datenblatt!$L$33:$N$39,3,FALSE))</f>
        <v>6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46081</v>
      </c>
      <c r="C36" s="157">
        <f t="shared" si="0"/>
        <v>46081</v>
      </c>
      <c r="D36" s="352">
        <f>IF(VLOOKUP($B36,Datenblatt!$A$43:$A$65,1,1)=$B36,0,VLOOKUP(WEEKDAY($B36),Datenblatt!$L$33:$N$39,3,FALSE))</f>
        <v>0</v>
      </c>
      <c r="E36" s="352">
        <f>IF(VLOOKUP($B36,Datenblatt!$A$43:$A$65,1,1)=$B36,0,IF(WEEKDAY($B36)=7,1,IF(WEEKDAY($B36)=1,0,2)))</f>
        <v>1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 t="str">
        <f>IF(MONTH(B36+1)=MONTH(B36),B36+1,"")</f>
        <v/>
      </c>
      <c r="C37" s="157" t="str">
        <f t="shared" si="0"/>
        <v/>
      </c>
      <c r="D37" s="158">
        <f>IF(B37="",0,IF(VLOOKUP($B37,Datenblatt!$A$43:$A$65,1,1)=$B37,0,VLOOKUP(WEEKDAY($B37),Datenblatt!$L$33:$N$39,3,FALSE)))</f>
        <v>0</v>
      </c>
      <c r="E37" s="158">
        <f>IF(B37="",2,IF(VLOOKUP($B37,Datenblatt!$A$43:$A$65,1,1)=$B37,0,IF(WEEKDAY($B37)=7,1,IF(WEEKDAY($B37)=1,0,2))))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/>
      <c r="W37" s="413"/>
      <c r="X37" s="414"/>
      <c r="AA37" s="173"/>
    </row>
    <row r="38" spans="2:128" ht="12.2" customHeight="1">
      <c r="B38" s="156"/>
      <c r="C38" s="157"/>
      <c r="D38" s="158"/>
      <c r="E38" s="158"/>
      <c r="F38" s="197"/>
      <c r="G38" s="198"/>
      <c r="H38" s="199"/>
      <c r="I38" s="200"/>
      <c r="J38" s="199"/>
      <c r="K38" s="200"/>
      <c r="L38" s="201"/>
      <c r="M38" s="202"/>
      <c r="N38" s="203"/>
      <c r="O38" s="203"/>
      <c r="P38" s="204"/>
      <c r="Q38" s="205"/>
      <c r="R38" s="171" t="str">
        <f t="shared" si="1"/>
        <v/>
      </c>
      <c r="S38" s="172" t="str">
        <f t="shared" si="2"/>
        <v/>
      </c>
      <c r="T38" s="169" t="str">
        <f t="shared" si="3"/>
        <v/>
      </c>
      <c r="U38" s="170"/>
      <c r="V38" s="412"/>
      <c r="W38" s="413"/>
      <c r="X38" s="414"/>
      <c r="AA38" s="173"/>
    </row>
    <row r="39" spans="2:128" ht="12.2" customHeight="1" thickBot="1">
      <c r="B39" s="156"/>
      <c r="C39" s="157"/>
      <c r="D39" s="158"/>
      <c r="E39" s="158"/>
      <c r="F39" s="197"/>
      <c r="G39" s="198"/>
      <c r="H39" s="199"/>
      <c r="I39" s="200"/>
      <c r="J39" s="199"/>
      <c r="K39" s="200"/>
      <c r="L39" s="201"/>
      <c r="M39" s="202"/>
      <c r="N39" s="203"/>
      <c r="O39" s="203"/>
      <c r="P39" s="204"/>
      <c r="Q39" s="205"/>
      <c r="R39" s="171" t="str">
        <f t="shared" si="1"/>
        <v/>
      </c>
      <c r="S39" s="172" t="str">
        <f t="shared" si="2"/>
        <v/>
      </c>
      <c r="T39" s="169" t="str">
        <f t="shared" si="3"/>
        <v/>
      </c>
      <c r="U39" s="170"/>
      <c r="V39" s="421"/>
      <c r="W39" s="422"/>
      <c r="X39" s="423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20  Arbeitstage in diesem Monat</v>
      </c>
      <c r="C41" s="183"/>
      <c r="D41" s="184"/>
      <c r="E41" s="184"/>
      <c r="F41" s="184"/>
      <c r="G41" s="185"/>
      <c r="H41" s="24"/>
      <c r="I41" s="66"/>
      <c r="J41" s="66"/>
      <c r="K41" s="66"/>
      <c r="L41" s="66"/>
      <c r="M41" s="24" t="str">
        <f>"Sollstunden für Feber "&amp;Datenblatt!$F$5&amp;":"</f>
        <v>Sollstunden für Feber 2026:</v>
      </c>
      <c r="N41" s="66"/>
      <c r="O41" s="66"/>
      <c r="P41" s="186"/>
      <c r="R41" s="187"/>
      <c r="S41" s="403">
        <f>SUM(D9:D39)</f>
        <v>152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Feber "&amp;Datenblatt!F5&amp;":   ","Zeitdefizit im Monat Feber "&amp;Datenblatt!F5&amp;":   ")</f>
        <v xml:space="preserve">Zeitdefizit im Monat Feber 2026:   </v>
      </c>
      <c r="N42" s="189"/>
      <c r="O42" s="189"/>
      <c r="R42" s="190"/>
      <c r="S42" s="397">
        <f>T40-SUM(D9:D39)</f>
        <v>-152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Jänner "&amp;Datenblatt!F5&amp;":   ","  - Zeitdefizit aus Jänner "&amp;Datenblatt!F5&amp;":   ")</f>
        <v xml:space="preserve">  - Zeitdefizit aus Jänner 2026:   </v>
      </c>
      <c r="S43" s="398">
        <f>Jän!S44</f>
        <v>-150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März "&amp;Datenblatt!F5</f>
        <v>Übertrag für März 2026</v>
      </c>
      <c r="R44" s="195"/>
      <c r="S44" s="399">
        <f>S43+S42-I42</f>
        <v>-302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2148" priority="1" stopIfTrue="1" operator="equal">
      <formula>MATCH($E15,0)</formula>
    </cfRule>
    <cfRule type="expression" dxfId="2147" priority="2" stopIfTrue="1">
      <formula>"WOCHENTAG($B8)=1"</formula>
    </cfRule>
    <cfRule type="expression" dxfId="2146" priority="3" stopIfTrue="1">
      <formula>"WOCHENTAG($B8)=7"</formula>
    </cfRule>
  </conditionalFormatting>
  <conditionalFormatting sqref="B9:C9">
    <cfRule type="expression" dxfId="2145" priority="62" stopIfTrue="1">
      <formula>($E$9=1)</formula>
    </cfRule>
  </conditionalFormatting>
  <conditionalFormatting sqref="B10:C10">
    <cfRule type="expression" dxfId="2144" priority="65" stopIfTrue="1">
      <formula>($E$10=1)</formula>
    </cfRule>
  </conditionalFormatting>
  <conditionalFormatting sqref="B11:C11">
    <cfRule type="expression" dxfId="2143" priority="68" stopIfTrue="1">
      <formula>($E$11=1)</formula>
    </cfRule>
  </conditionalFormatting>
  <conditionalFormatting sqref="B12:C12">
    <cfRule type="expression" dxfId="2142" priority="71" stopIfTrue="1">
      <formula>($E$12=1)</formula>
    </cfRule>
  </conditionalFormatting>
  <conditionalFormatting sqref="B13:C13">
    <cfRule type="expression" dxfId="2141" priority="74" stopIfTrue="1">
      <formula>($E$13=1)</formula>
    </cfRule>
  </conditionalFormatting>
  <conditionalFormatting sqref="B14:C14">
    <cfRule type="expression" dxfId="2140" priority="77" stopIfTrue="1">
      <formula>($E$14=1)</formula>
    </cfRule>
  </conditionalFormatting>
  <conditionalFormatting sqref="B15:C15">
    <cfRule type="expression" dxfId="2139" priority="80" stopIfTrue="1">
      <formula>($E$15=1)</formula>
    </cfRule>
  </conditionalFormatting>
  <conditionalFormatting sqref="B16:C16">
    <cfRule type="expression" dxfId="2138" priority="83" stopIfTrue="1">
      <formula>($E$16=1)</formula>
    </cfRule>
  </conditionalFormatting>
  <conditionalFormatting sqref="B17:C17">
    <cfRule type="expression" dxfId="2137" priority="86" stopIfTrue="1">
      <formula>($E$17=1)</formula>
    </cfRule>
  </conditionalFormatting>
  <conditionalFormatting sqref="B18:C18">
    <cfRule type="expression" dxfId="2136" priority="89" stopIfTrue="1">
      <formula>($E$18=1)</formula>
    </cfRule>
  </conditionalFormatting>
  <conditionalFormatting sqref="B19:C19">
    <cfRule type="expression" dxfId="2135" priority="92" stopIfTrue="1">
      <formula>($E$19=1)</formula>
    </cfRule>
  </conditionalFormatting>
  <conditionalFormatting sqref="B20:C20">
    <cfRule type="expression" dxfId="2134" priority="95" stopIfTrue="1">
      <formula>($E$20=1)</formula>
    </cfRule>
  </conditionalFormatting>
  <conditionalFormatting sqref="B21:C21">
    <cfRule type="expression" dxfId="2133" priority="98" stopIfTrue="1">
      <formula>($E$21=1)</formula>
    </cfRule>
  </conditionalFormatting>
  <conditionalFormatting sqref="B22:C22">
    <cfRule type="expression" dxfId="2132" priority="101" stopIfTrue="1">
      <formula>($E$22=1)</formula>
    </cfRule>
  </conditionalFormatting>
  <conditionalFormatting sqref="B23:C23">
    <cfRule type="expression" dxfId="2131" priority="104" stopIfTrue="1">
      <formula>($E$23=1)</formula>
    </cfRule>
  </conditionalFormatting>
  <conditionalFormatting sqref="B24:C24">
    <cfRule type="expression" dxfId="2130" priority="107" stopIfTrue="1">
      <formula>($E$24=1)</formula>
    </cfRule>
  </conditionalFormatting>
  <conditionalFormatting sqref="B25:C25">
    <cfRule type="expression" dxfId="2129" priority="110" stopIfTrue="1">
      <formula>($E$25=1)</formula>
    </cfRule>
  </conditionalFormatting>
  <conditionalFormatting sqref="B26:C26">
    <cfRule type="expression" dxfId="2128" priority="113" stopIfTrue="1">
      <formula>($E$26=1)</formula>
    </cfRule>
  </conditionalFormatting>
  <conditionalFormatting sqref="B27:C27">
    <cfRule type="expression" dxfId="2127" priority="116" stopIfTrue="1">
      <formula>($E$27=1)</formula>
    </cfRule>
  </conditionalFormatting>
  <conditionalFormatting sqref="B28:C28">
    <cfRule type="expression" dxfId="2126" priority="119" stopIfTrue="1">
      <formula>($E$28=1)</formula>
    </cfRule>
  </conditionalFormatting>
  <conditionalFormatting sqref="B29:C29">
    <cfRule type="expression" dxfId="2125" priority="122" stopIfTrue="1">
      <formula>($E$29=1)</formula>
    </cfRule>
  </conditionalFormatting>
  <conditionalFormatting sqref="B30:C30">
    <cfRule type="expression" dxfId="2124" priority="125" stopIfTrue="1">
      <formula>($E$30=1)</formula>
    </cfRule>
  </conditionalFormatting>
  <conditionalFormatting sqref="B31:C31">
    <cfRule type="expression" dxfId="2123" priority="128" stopIfTrue="1">
      <formula>($E$31=1)</formula>
    </cfRule>
  </conditionalFormatting>
  <conditionalFormatting sqref="B32:C32">
    <cfRule type="expression" dxfId="2122" priority="131" stopIfTrue="1">
      <formula>($E$32=1)</formula>
    </cfRule>
  </conditionalFormatting>
  <conditionalFormatting sqref="B33:C33">
    <cfRule type="expression" dxfId="2121" priority="134" stopIfTrue="1">
      <formula>($E$33=1)</formula>
    </cfRule>
  </conditionalFormatting>
  <conditionalFormatting sqref="B34:C34">
    <cfRule type="expression" dxfId="2120" priority="137" stopIfTrue="1">
      <formula>($E$34=1)</formula>
    </cfRule>
  </conditionalFormatting>
  <conditionalFormatting sqref="B35:C35">
    <cfRule type="expression" dxfId="2119" priority="140" stopIfTrue="1">
      <formula>($E$35=1)</formula>
    </cfRule>
  </conditionalFormatting>
  <conditionalFormatting sqref="B36:C36">
    <cfRule type="expression" dxfId="2118" priority="143" stopIfTrue="1">
      <formula>($E$36=1)</formula>
    </cfRule>
  </conditionalFormatting>
  <conditionalFormatting sqref="B37:C37">
    <cfRule type="expression" dxfId="2117" priority="146" stopIfTrue="1">
      <formula>($E$37=1)</formula>
    </cfRule>
  </conditionalFormatting>
  <conditionalFormatting sqref="B9:T9 V9">
    <cfRule type="expression" dxfId="2116" priority="4" stopIfTrue="1">
      <formula>($E$9=0)</formula>
    </cfRule>
    <cfRule type="expression" dxfId="2115" priority="5" stopIfTrue="1">
      <formula>($D$9="Ersatzruhetag")</formula>
    </cfRule>
  </conditionalFormatting>
  <conditionalFormatting sqref="B10:T10 V10">
    <cfRule type="expression" dxfId="2114" priority="6" stopIfTrue="1">
      <formula>($E$10=0)</formula>
    </cfRule>
    <cfRule type="expression" dxfId="2113" priority="7" stopIfTrue="1">
      <formula>($D$10="Ersatzruhetag")</formula>
    </cfRule>
  </conditionalFormatting>
  <conditionalFormatting sqref="B11:T11 V11">
    <cfRule type="expression" dxfId="2112" priority="8" stopIfTrue="1">
      <formula>($E$11=0)</formula>
    </cfRule>
    <cfRule type="expression" dxfId="2111" priority="9" stopIfTrue="1">
      <formula>($D$11="Ersatzruhetag")</formula>
    </cfRule>
  </conditionalFormatting>
  <conditionalFormatting sqref="B12:T12 V12">
    <cfRule type="expression" dxfId="2110" priority="10" stopIfTrue="1">
      <formula>($E$12=0)</formula>
    </cfRule>
    <cfRule type="expression" dxfId="2109" priority="11" stopIfTrue="1">
      <formula>($D$12="Ersatzruhetag")</formula>
    </cfRule>
  </conditionalFormatting>
  <conditionalFormatting sqref="B13:T13 V13">
    <cfRule type="expression" dxfId="2108" priority="13" stopIfTrue="1">
      <formula>($D$13="Ersatzruhetag")</formula>
    </cfRule>
    <cfRule type="expression" dxfId="2107" priority="12" stopIfTrue="1">
      <formula>($E$13=0)</formula>
    </cfRule>
  </conditionalFormatting>
  <conditionalFormatting sqref="B14:T14 V14">
    <cfRule type="expression" dxfId="2106" priority="14" stopIfTrue="1">
      <formula>($E$14=0)</formula>
    </cfRule>
    <cfRule type="expression" dxfId="2105" priority="15" stopIfTrue="1">
      <formula>($D$14="Ersatzruhetag")</formula>
    </cfRule>
  </conditionalFormatting>
  <conditionalFormatting sqref="B15:T15 V15">
    <cfRule type="expression" dxfId="2104" priority="16" stopIfTrue="1">
      <formula>($E$15=0)</formula>
    </cfRule>
    <cfRule type="expression" dxfId="2103" priority="17" stopIfTrue="1">
      <formula>($D$15="Ersatzruhetag")</formula>
    </cfRule>
  </conditionalFormatting>
  <conditionalFormatting sqref="B16:T16 V16">
    <cfRule type="expression" dxfId="2102" priority="18" stopIfTrue="1">
      <formula>($E$16=0)</formula>
    </cfRule>
    <cfRule type="expression" dxfId="2101" priority="19" stopIfTrue="1">
      <formula>($D$16="Ersatzruhetag")</formula>
    </cfRule>
  </conditionalFormatting>
  <conditionalFormatting sqref="B17:T17 V17">
    <cfRule type="expression" dxfId="2100" priority="20" stopIfTrue="1">
      <formula>($E$17=0)</formula>
    </cfRule>
    <cfRule type="expression" dxfId="2099" priority="21" stopIfTrue="1">
      <formula>($D$17="Ersatzruhetag")</formula>
    </cfRule>
  </conditionalFormatting>
  <conditionalFormatting sqref="B18:T18 V18">
    <cfRule type="expression" dxfId="2098" priority="22" stopIfTrue="1">
      <formula>($E$18=0)</formula>
    </cfRule>
    <cfRule type="expression" dxfId="2097" priority="23" stopIfTrue="1">
      <formula>($D$18="Ersatzruhetag")</formula>
    </cfRule>
  </conditionalFormatting>
  <conditionalFormatting sqref="B19:T19 V19">
    <cfRule type="expression" dxfId="2096" priority="24" stopIfTrue="1">
      <formula>($E$19=0)</formula>
    </cfRule>
    <cfRule type="expression" dxfId="2095" priority="25" stopIfTrue="1">
      <formula>($D$19="Ersatzruhetag")</formula>
    </cfRule>
  </conditionalFormatting>
  <conditionalFormatting sqref="B20:T20 V20">
    <cfRule type="expression" dxfId="2094" priority="26" stopIfTrue="1">
      <formula>($E$20=0)</formula>
    </cfRule>
    <cfRule type="expression" dxfId="2093" priority="27" stopIfTrue="1">
      <formula>($D$20="Ersatzruhetag")</formula>
    </cfRule>
  </conditionalFormatting>
  <conditionalFormatting sqref="B21:T21 V21">
    <cfRule type="expression" dxfId="2092" priority="28" stopIfTrue="1">
      <formula>($E$21=0)</formula>
    </cfRule>
    <cfRule type="expression" dxfId="2091" priority="29" stopIfTrue="1">
      <formula>($D$21="Ersatzruhetag")</formula>
    </cfRule>
  </conditionalFormatting>
  <conditionalFormatting sqref="B22:T22 V22">
    <cfRule type="expression" dxfId="2090" priority="30" stopIfTrue="1">
      <formula>($E$22=0)</formula>
    </cfRule>
    <cfRule type="expression" dxfId="2089" priority="31" stopIfTrue="1">
      <formula>($D$22="Ersatzruhetag")</formula>
    </cfRule>
  </conditionalFormatting>
  <conditionalFormatting sqref="B23:T23 V23">
    <cfRule type="expression" dxfId="2088" priority="33" stopIfTrue="1">
      <formula>($D$23="Ersatzruhetag")</formula>
    </cfRule>
    <cfRule type="expression" dxfId="2087" priority="32" stopIfTrue="1">
      <formula>($E$23=0)</formula>
    </cfRule>
  </conditionalFormatting>
  <conditionalFormatting sqref="B24:T24 V24">
    <cfRule type="expression" dxfId="2086" priority="34" stopIfTrue="1">
      <formula>($E$24=0)</formula>
    </cfRule>
    <cfRule type="expression" dxfId="2085" priority="35" stopIfTrue="1">
      <formula>($D$24="Ersatzruhetag")</formula>
    </cfRule>
  </conditionalFormatting>
  <conditionalFormatting sqref="B25:T25 V25">
    <cfRule type="expression" dxfId="2084" priority="36" stopIfTrue="1">
      <formula>($E$25=0)</formula>
    </cfRule>
    <cfRule type="expression" dxfId="2083" priority="37" stopIfTrue="1">
      <formula>($D$25="Ersatzruhetag")</formula>
    </cfRule>
  </conditionalFormatting>
  <conditionalFormatting sqref="B26:T26 V26">
    <cfRule type="expression" dxfId="2082" priority="39" stopIfTrue="1">
      <formula>($D$26="Ersatzruhetag")</formula>
    </cfRule>
    <cfRule type="expression" dxfId="2081" priority="38" stopIfTrue="1">
      <formula>($E$26=0)</formula>
    </cfRule>
  </conditionalFormatting>
  <conditionalFormatting sqref="B27:T27 V27">
    <cfRule type="expression" dxfId="2080" priority="40" stopIfTrue="1">
      <formula>($E$27=0)</formula>
    </cfRule>
    <cfRule type="expression" dxfId="2079" priority="41" stopIfTrue="1">
      <formula>($D$27="Ersatzruhetag")</formula>
    </cfRule>
  </conditionalFormatting>
  <conditionalFormatting sqref="B28:T28 V28">
    <cfRule type="expression" dxfId="2078" priority="42" stopIfTrue="1">
      <formula>($E$28=0)</formula>
    </cfRule>
    <cfRule type="expression" dxfId="2077" priority="43" stopIfTrue="1">
      <formula>($D$28="Ersatzruhetag")</formula>
    </cfRule>
  </conditionalFormatting>
  <conditionalFormatting sqref="B29:T29 V29">
    <cfRule type="expression" dxfId="2076" priority="45" stopIfTrue="1">
      <formula>($D$29="Ersatzruhetag")</formula>
    </cfRule>
    <cfRule type="expression" dxfId="2075" priority="44" stopIfTrue="1">
      <formula>($E$29=0)</formula>
    </cfRule>
  </conditionalFormatting>
  <conditionalFormatting sqref="B30:T30 V30">
    <cfRule type="expression" dxfId="2074" priority="46" stopIfTrue="1">
      <formula>($E$30=0)</formula>
    </cfRule>
    <cfRule type="expression" dxfId="2073" priority="47" stopIfTrue="1">
      <formula>($D$30="Ersatzruhetag")</formula>
    </cfRule>
  </conditionalFormatting>
  <conditionalFormatting sqref="B31:T31 V31">
    <cfRule type="expression" dxfId="2072" priority="49" stopIfTrue="1">
      <formula>($D$31="Ersatzruhetag")</formula>
    </cfRule>
    <cfRule type="expression" dxfId="2071" priority="48" stopIfTrue="1">
      <formula>($E$31=0)</formula>
    </cfRule>
  </conditionalFormatting>
  <conditionalFormatting sqref="B32:T32 V32">
    <cfRule type="expression" dxfId="2070" priority="51" stopIfTrue="1">
      <formula>($D$32="Ersatzruhetag")</formula>
    </cfRule>
    <cfRule type="expression" dxfId="2069" priority="50" stopIfTrue="1">
      <formula>($E$32=0)</formula>
    </cfRule>
  </conditionalFormatting>
  <conditionalFormatting sqref="B33:T33 V33">
    <cfRule type="expression" dxfId="2068" priority="53" stopIfTrue="1">
      <formula>($D$33="Ersatzruhetag")</formula>
    </cfRule>
    <cfRule type="expression" dxfId="2067" priority="52" stopIfTrue="1">
      <formula>($E$33=0)</formula>
    </cfRule>
  </conditionalFormatting>
  <conditionalFormatting sqref="B34:T34 V34">
    <cfRule type="expression" dxfId="2066" priority="55" stopIfTrue="1">
      <formula>($D$34="Ersatzruhetag")</formula>
    </cfRule>
    <cfRule type="expression" dxfId="2065" priority="54" stopIfTrue="1">
      <formula>($E$34=0)</formula>
    </cfRule>
  </conditionalFormatting>
  <conditionalFormatting sqref="B35:T35 V35">
    <cfRule type="expression" dxfId="2064" priority="57" stopIfTrue="1">
      <formula>($D$35="Ersatzruhetag")</formula>
    </cfRule>
    <cfRule type="expression" dxfId="2063" priority="56" stopIfTrue="1">
      <formula>($E$35=0)</formula>
    </cfRule>
  </conditionalFormatting>
  <conditionalFormatting sqref="B36:T36 V36">
    <cfRule type="expression" dxfId="2062" priority="59" stopIfTrue="1">
      <formula>($D$36="Ersatzruhetag")</formula>
    </cfRule>
    <cfRule type="expression" dxfId="2061" priority="58" stopIfTrue="1">
      <formula>($E$36=0)</formula>
    </cfRule>
  </conditionalFormatting>
  <conditionalFormatting sqref="B37:T37">
    <cfRule type="expression" dxfId="2060" priority="144" stopIfTrue="1">
      <formula>($E$37=0)</formula>
    </cfRule>
    <cfRule type="expression" dxfId="2059" priority="145" stopIfTrue="1">
      <formula>($D$37="Ersatzruhetag")</formula>
    </cfRule>
  </conditionalFormatting>
  <conditionalFormatting sqref="V37">
    <cfRule type="expression" dxfId="2058" priority="147" stopIfTrue="1">
      <formula>($E$37=0)</formula>
    </cfRule>
    <cfRule type="expression" dxfId="2057" priority="148" stopIfTrue="1">
      <formula>($D$37="Ersatzruhetag")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0.140625" style="94" hidden="1" customWidth="1"/>
    <col min="5" max="5" width="7.140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DATE(Datenblatt!F5,3,1)</f>
        <v>46082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"&amp;Datenblatt!$Q$33&amp;";"&amp;"    Di: "&amp;Datenblatt!$Q$34&amp;";"&amp;"    Mi: "&amp;Datenblatt!$Q$35&amp;";"&amp;"    Do: "&amp;Datenblatt!$Q$36&amp;";"&amp;"    Fr: "&amp;Datenblatt!$Q$37&amp;";"&amp;"    Sa: "&amp;Datenblatt!$Q$38&amp;";"&amp;"    So: "&amp;Datenblatt!$Q$39&amp;""&amp;"     -    Wochenarbeitszeit:  "&amp;Datenblatt!$Q$40&amp;"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Feb!T5+Datenblatt!Q41</f>
        <v>190</v>
      </c>
      <c r="U4" s="405"/>
      <c r="V4" s="141"/>
      <c r="W4" s="142" t="str">
        <f>"Urlaubsanspruch per 01.03."&amp;Datenblatt!$F$5</f>
        <v>Urlaubsanspruch per 01.03.2026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"&amp;IF(Datenblatt!Q42=1,Datenblatt!D34,IF(Datenblatt!Q42=2,Datenblatt!D35,IF(Datenblatt!Q42=3,Datenblatt!D36,IF(Datenblatt!Q42=4,Datenblatt!D37))))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190</v>
      </c>
      <c r="U5" s="405"/>
      <c r="V5" s="141"/>
      <c r="W5" s="143" t="str">
        <f>"Resturlaub per 31.03."&amp;Datenblatt!$F$5</f>
        <v>Resturlaub per 31.03.2026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46082</v>
      </c>
      <c r="C9" s="157">
        <f t="shared" ref="C9:C39" si="0">B9</f>
        <v>46082</v>
      </c>
      <c r="D9" s="350">
        <f>IF(VLOOKUP($B9,Datenblatt!$A$43:$A$65,1,1)=$B9,0,VLOOKUP(WEEKDAY($B9),Datenblatt!$O$33:$Q$39,3,FALSE))</f>
        <v>0</v>
      </c>
      <c r="E9" s="350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9" si="4">B9+1</f>
        <v>46083</v>
      </c>
      <c r="C10" s="157">
        <f t="shared" si="0"/>
        <v>46083</v>
      </c>
      <c r="D10" s="351">
        <f>IF(VLOOKUP($B10,Datenblatt!$A$43:$A$65,1,1)=$B10,0,VLOOKUP(WEEKDAY($B10),Datenblatt!$O$33:$Q$39,3,FALSE))</f>
        <v>8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46084</v>
      </c>
      <c r="C11" s="157">
        <f t="shared" si="0"/>
        <v>46084</v>
      </c>
      <c r="D11" s="352">
        <f>IF(VLOOKUP($B11,Datenblatt!$A$43:$A$65,1,1)=$B11,0,VLOOKUP(WEEKDAY($B11),Datenblatt!$O$33:$Q$39,3,FALSE))</f>
        <v>8</v>
      </c>
      <c r="E11" s="352">
        <f>IF(VLOOKUP($B11,Datenblatt!$A$43:$A$65,1,1)=$B11,0,IF(WEEKDAY($B11)=7,1,IF(WEEKDAY($B11)=1,0,2)))</f>
        <v>2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46085</v>
      </c>
      <c r="C12" s="157">
        <f t="shared" si="0"/>
        <v>46085</v>
      </c>
      <c r="D12" s="352">
        <f>IF(VLOOKUP($B12,Datenblatt!$A$43:$A$65,1,1)=$B12,0,VLOOKUP(WEEKDAY($B12),Datenblatt!$O$33:$Q$39,3,FALSE))</f>
        <v>8</v>
      </c>
      <c r="E12" s="352">
        <f>IF(VLOOKUP($B12,Datenblatt!$A$43:$A$65,1,1)=$B12,0,IF(WEEKDAY($B12)=7,1,IF(WEEKDAY($B12)=1,0,2)))</f>
        <v>2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46086</v>
      </c>
      <c r="C13" s="157">
        <f t="shared" si="0"/>
        <v>46086</v>
      </c>
      <c r="D13" s="352">
        <f>IF(VLOOKUP($B13,Datenblatt!$A$43:$A$65,1,1)=$B13,0,VLOOKUP(WEEKDAY($B13),Datenblatt!$O$33:$Q$39,3,FALSE))</f>
        <v>8</v>
      </c>
      <c r="E13" s="352">
        <f>IF(VLOOKUP($B13,Datenblatt!$A$43:$A$65,1,1)=$B13,0,IF(WEEKDAY($B13)=7,1,IF(WEEKDAY($B13)=1,0,2)))</f>
        <v>2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46087</v>
      </c>
      <c r="C14" s="157">
        <f t="shared" si="0"/>
        <v>46087</v>
      </c>
      <c r="D14" s="352">
        <f>IF(VLOOKUP($B14,Datenblatt!$A$43:$A$65,1,1)=$B14,0,VLOOKUP(WEEKDAY($B14),Datenblatt!$O$33:$Q$39,3,FALSE))</f>
        <v>6</v>
      </c>
      <c r="E14" s="352">
        <f>IF(VLOOKUP($B14,Datenblatt!$A$43:$A$65,1,1)=$B14,0,IF(WEEKDAY($B14)=7,1,IF(WEEKDAY($B14)=1,0,2)))</f>
        <v>2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46088</v>
      </c>
      <c r="C15" s="157">
        <f t="shared" si="0"/>
        <v>46088</v>
      </c>
      <c r="D15" s="352">
        <f>IF(VLOOKUP($B15,Datenblatt!$A$43:$A$65,1,1)=$B15,0,VLOOKUP(WEEKDAY($B15),Datenblatt!$O$33:$Q$39,3,FALSE))</f>
        <v>0</v>
      </c>
      <c r="E15" s="352">
        <f>IF(VLOOKUP($B15,Datenblatt!$A$43:$A$65,1,1)=$B15,0,IF(WEEKDAY($B15)=7,1,IF(WEEKDAY($B15)=1,0,2)))</f>
        <v>1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46089</v>
      </c>
      <c r="C16" s="157">
        <f t="shared" si="0"/>
        <v>46089</v>
      </c>
      <c r="D16" s="352">
        <f>IF(VLOOKUP($B16,Datenblatt!$A$43:$A$65,1,1)=$B16,0,VLOOKUP(WEEKDAY($B16),Datenblatt!$O$33:$Q$39,3,FALSE))</f>
        <v>0</v>
      </c>
      <c r="E16" s="352">
        <f>IF(VLOOKUP($B16,Datenblatt!$A$43:$A$65,1,1)=$B16,0,IF(WEEKDAY($B16)=7,1,IF(WEEKDAY($B16)=1,0,2)))</f>
        <v>0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46090</v>
      </c>
      <c r="C17" s="157">
        <f t="shared" si="0"/>
        <v>46090</v>
      </c>
      <c r="D17" s="352">
        <f>IF(VLOOKUP($B17,Datenblatt!$A$43:$A$65,1,1)=$B17,0,VLOOKUP(WEEKDAY($B17),Datenblatt!$O$33:$Q$39,3,FALSE))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46091</v>
      </c>
      <c r="C18" s="157">
        <f t="shared" si="0"/>
        <v>46091</v>
      </c>
      <c r="D18" s="352">
        <f>IF(VLOOKUP($B18,Datenblatt!$A$43:$A$65,1,1)=$B18,0,VLOOKUP(WEEKDAY($B18),Datenblatt!$O$33:$Q$39,3,FALSE))</f>
        <v>8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46092</v>
      </c>
      <c r="C19" s="157">
        <f t="shared" si="0"/>
        <v>46092</v>
      </c>
      <c r="D19" s="352">
        <f>IF(VLOOKUP($B19,Datenblatt!$A$43:$A$65,1,1)=$B19,0,VLOOKUP(WEEKDAY($B19),Datenblatt!$O$33:$Q$39,3,FALSE))</f>
        <v>8</v>
      </c>
      <c r="E19" s="352">
        <f>IF(VLOOKUP($B19,Datenblatt!$A$43:$A$65,1,1)=$B19,0,IF(WEEKDAY($B19)=7,1,IF(WEEKDAY($B19)=1,0,2)))</f>
        <v>2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46093</v>
      </c>
      <c r="C20" s="157">
        <f t="shared" si="0"/>
        <v>46093</v>
      </c>
      <c r="D20" s="352">
        <f>IF(VLOOKUP($B20,Datenblatt!$A$43:$A$65,1,1)=$B20,0,VLOOKUP(WEEKDAY($B20),Datenblatt!$O$33:$Q$39,3,FALSE))</f>
        <v>8</v>
      </c>
      <c r="E20" s="352">
        <f>IF(VLOOKUP($B20,Datenblatt!$A$43:$A$65,1,1)=$B20,0,IF(WEEKDAY($B20)=7,1,IF(WEEKDAY($B20)=1,0,2)))</f>
        <v>2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46094</v>
      </c>
      <c r="C21" s="157">
        <f t="shared" si="0"/>
        <v>46094</v>
      </c>
      <c r="D21" s="352">
        <f>IF(VLOOKUP($B21,Datenblatt!$A$43:$A$65,1,1)=$B21,0,VLOOKUP(WEEKDAY($B21),Datenblatt!$O$33:$Q$39,3,FALSE))</f>
        <v>6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46095</v>
      </c>
      <c r="C22" s="157">
        <f t="shared" si="0"/>
        <v>46095</v>
      </c>
      <c r="D22" s="352">
        <f>IF(VLOOKUP($B22,Datenblatt!$A$43:$A$65,1,1)=$B22,0,VLOOKUP(WEEKDAY($B22),Datenblatt!$O$33:$Q$39,3,FALSE))</f>
        <v>0</v>
      </c>
      <c r="E22" s="352">
        <f>IF(VLOOKUP($B22,Datenblatt!$A$43:$A$65,1,1)=$B22,0,IF(WEEKDAY($B22)=7,1,IF(WEEKDAY($B22)=1,0,2)))</f>
        <v>1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46096</v>
      </c>
      <c r="C23" s="157">
        <f t="shared" si="0"/>
        <v>46096</v>
      </c>
      <c r="D23" s="352">
        <f>IF(VLOOKUP($B23,Datenblatt!$A$43:$A$65,1,1)=$B23,0,VLOOKUP(WEEKDAY($B23),Datenblatt!$O$33:$Q$39,3,FALSE))</f>
        <v>0</v>
      </c>
      <c r="E23" s="352">
        <f>IF(VLOOKUP($B23,Datenblatt!$A$43:$A$65,1,1)=$B23,0,IF(WEEKDAY($B23)=7,1,IF(WEEKDAY($B23)=1,0,2)))</f>
        <v>0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46097</v>
      </c>
      <c r="C24" s="157">
        <f t="shared" si="0"/>
        <v>46097</v>
      </c>
      <c r="D24" s="352">
        <f>IF(VLOOKUP($B24,Datenblatt!$A$43:$A$65,1,1)=$B24,0,VLOOKUP(WEEKDAY($B24),Datenblatt!$O$33:$Q$39,3,FALSE))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46098</v>
      </c>
      <c r="C25" s="157">
        <f t="shared" si="0"/>
        <v>46098</v>
      </c>
      <c r="D25" s="352">
        <f>IF(VLOOKUP($B25,Datenblatt!$A$43:$A$65,1,1)=$B25,0,VLOOKUP(WEEKDAY($B25),Datenblatt!$O$33:$Q$39,3,FALSE))</f>
        <v>8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46099</v>
      </c>
      <c r="C26" s="157">
        <f t="shared" si="0"/>
        <v>46099</v>
      </c>
      <c r="D26" s="352">
        <f>IF(VLOOKUP($B26,Datenblatt!$A$43:$A$65,1,1)=$B26,0,VLOOKUP(WEEKDAY($B26),Datenblatt!$O$33:$Q$39,3,FALSE))</f>
        <v>8</v>
      </c>
      <c r="E26" s="352">
        <f>IF(VLOOKUP($B26,Datenblatt!$A$43:$A$65,1,1)=$B26,0,IF(WEEKDAY($B26)=7,1,IF(WEEKDAY($B26)=1,0,2)))</f>
        <v>2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46100</v>
      </c>
      <c r="C27" s="157">
        <f t="shared" si="0"/>
        <v>46100</v>
      </c>
      <c r="D27" s="352">
        <f>IF(VLOOKUP($B27,Datenblatt!$A$43:$A$65,1,1)=$B27,0,VLOOKUP(WEEKDAY($B27),Datenblatt!$O$33:$Q$39,3,FALSE))</f>
        <v>8</v>
      </c>
      <c r="E27" s="352">
        <f>IF(VLOOKUP($B27,Datenblatt!$A$43:$A$65,1,1)=$B27,0,IF(WEEKDAY($B27)=7,1,IF(WEEKDAY($B27)=1,0,2)))</f>
        <v>2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46101</v>
      </c>
      <c r="C28" s="157">
        <f t="shared" si="0"/>
        <v>46101</v>
      </c>
      <c r="D28" s="352">
        <f>IF(VLOOKUP($B28,Datenblatt!$A$43:$A$65,1,1)=$B28,0,VLOOKUP(WEEKDAY($B28),Datenblatt!$O$33:$Q$39,3,FALSE))</f>
        <v>6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46102</v>
      </c>
      <c r="C29" s="157">
        <f t="shared" si="0"/>
        <v>46102</v>
      </c>
      <c r="D29" s="352">
        <f>IF(VLOOKUP($B29,Datenblatt!$A$43:$A$65,1,1)=$B29,0,VLOOKUP(WEEKDAY($B29),Datenblatt!$O$33:$Q$39,3,FALSE))</f>
        <v>0</v>
      </c>
      <c r="E29" s="352">
        <f>IF(VLOOKUP($B29,Datenblatt!$A$43:$A$65,1,1)=$B29,0,IF(WEEKDAY($B29)=7,1,IF(WEEKDAY($B29)=1,0,2)))</f>
        <v>1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46103</v>
      </c>
      <c r="C30" s="157">
        <f t="shared" si="0"/>
        <v>46103</v>
      </c>
      <c r="D30" s="352">
        <f>IF(VLOOKUP($B30,Datenblatt!$A$43:$A$65,1,1)=$B30,0,VLOOKUP(WEEKDAY($B30),Datenblatt!$O$33:$Q$39,3,FALSE))</f>
        <v>0</v>
      </c>
      <c r="E30" s="352">
        <f>IF(VLOOKUP($B30,Datenblatt!$A$43:$A$65,1,1)=$B30,0,IF(WEEKDAY($B30)=7,1,IF(WEEKDAY($B30)=1,0,2)))</f>
        <v>0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46104</v>
      </c>
      <c r="C31" s="157">
        <f t="shared" si="0"/>
        <v>46104</v>
      </c>
      <c r="D31" s="352">
        <f>IF(VLOOKUP($B31,Datenblatt!$A$43:$A$65,1,1)=$B31,0,VLOOKUP(WEEKDAY($B31),Datenblatt!$O$33:$Q$39,3,FALSE))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46105</v>
      </c>
      <c r="C32" s="157">
        <f t="shared" si="0"/>
        <v>46105</v>
      </c>
      <c r="D32" s="352">
        <f>IF(VLOOKUP($B32,Datenblatt!$A$43:$A$65,1,1)=$B32,0,VLOOKUP(WEEKDAY($B32),Datenblatt!$O$33:$Q$39,3,FALSE))</f>
        <v>8</v>
      </c>
      <c r="E32" s="352">
        <f>IF(VLOOKUP($B32,Datenblatt!$A$43:$A$65,1,1)=$B32,0,IF(WEEKDAY($B32)=7,1,IF(WEEKDAY($B32)=1,0,2)))</f>
        <v>2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46106</v>
      </c>
      <c r="C33" s="157">
        <f t="shared" si="0"/>
        <v>46106</v>
      </c>
      <c r="D33" s="352">
        <f>IF(VLOOKUP($B33,Datenblatt!$A$43:$A$65,1,1)=$B33,0,VLOOKUP(WEEKDAY($B33),Datenblatt!$O$33:$Q$39,3,FALSE))</f>
        <v>8</v>
      </c>
      <c r="E33" s="352">
        <f>IF(VLOOKUP($B33,Datenblatt!$A$43:$A$65,1,1)=$B33,0,IF(WEEKDAY($B33)=7,1,IF(WEEKDAY($B33)=1,0,2)))</f>
        <v>2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46107</v>
      </c>
      <c r="C34" s="157">
        <f t="shared" si="0"/>
        <v>46107</v>
      </c>
      <c r="D34" s="352">
        <f>IF(VLOOKUP($B34,Datenblatt!$A$43:$A$65,1,1)=$B34,0,VLOOKUP(WEEKDAY($B34),Datenblatt!$O$33:$Q$39,3,FALSE))</f>
        <v>8</v>
      </c>
      <c r="E34" s="352">
        <f>IF(VLOOKUP($B34,Datenblatt!$A$43:$A$65,1,1)=$B34,0,IF(WEEKDAY($B34)=7,1,IF(WEEKDAY($B34)=1,0,2)))</f>
        <v>2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46108</v>
      </c>
      <c r="C35" s="157">
        <f t="shared" si="0"/>
        <v>46108</v>
      </c>
      <c r="D35" s="352">
        <f>IF(VLOOKUP($B35,Datenblatt!$A$43:$A$65,1,1)=$B35,0,VLOOKUP(WEEKDAY($B35),Datenblatt!$O$33:$Q$39,3,FALSE))</f>
        <v>6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46109</v>
      </c>
      <c r="C36" s="157">
        <f t="shared" si="0"/>
        <v>46109</v>
      </c>
      <c r="D36" s="352">
        <f>IF(VLOOKUP($B36,Datenblatt!$A$43:$A$65,1,1)=$B36,0,VLOOKUP(WEEKDAY($B36),Datenblatt!$O$33:$Q$39,3,FALSE))</f>
        <v>0</v>
      </c>
      <c r="E36" s="352">
        <f>IF(VLOOKUP($B36,Datenblatt!$A$43:$A$65,1,1)=$B36,0,IF(WEEKDAY($B36)=7,1,IF(WEEKDAY($B36)=1,0,2)))</f>
        <v>1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46110</v>
      </c>
      <c r="C37" s="157">
        <f t="shared" si="0"/>
        <v>46110</v>
      </c>
      <c r="D37" s="352">
        <f>IF(VLOOKUP($B37,Datenblatt!$A$43:$A$65,1,1)=$B37,0,VLOOKUP(WEEKDAY($B37),Datenblatt!$O$33:$Q$39,3,FALSE))</f>
        <v>0</v>
      </c>
      <c r="E37" s="352">
        <f>IF(VLOOKUP($B37,Datenblatt!$A$43:$A$65,1,1)=$B37,0,IF(WEEKDAY($B37)=7,1,IF(WEEKDAY($B37)=1,0,2)))</f>
        <v>0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46111</v>
      </c>
      <c r="C38" s="157">
        <f t="shared" si="0"/>
        <v>46111</v>
      </c>
      <c r="D38" s="352">
        <f>IF(VLOOKUP($B38,Datenblatt!$A$43:$A$65,1,1)=$B38,0,VLOOKUP(WEEKDAY($B38),Datenblatt!$O$33:$Q$39,3,FALSE))</f>
        <v>8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>
        <f t="shared" si="4"/>
        <v>46112</v>
      </c>
      <c r="C39" s="157">
        <f t="shared" si="0"/>
        <v>46112</v>
      </c>
      <c r="D39" s="352">
        <f>IF(VLOOKUP($B39,Datenblatt!$A$43:$A$65,1,1)=$B39,0,VLOOKUP(WEEKDAY($B39),Datenblatt!$O$33:$Q$39,3,FALSE))</f>
        <v>8</v>
      </c>
      <c r="E39" s="352">
        <f>IF(VLOOKUP($B39,Datenblatt!$A$43:$A$65,1,1)=$B39,0,IF(WEEKDAY($B39)=7,1,IF(WEEKDAY($B39)=1,0,2)))</f>
        <v>2</v>
      </c>
      <c r="F39" s="353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1"/>
        <v/>
      </c>
      <c r="S39" s="168" t="str">
        <f t="shared" si="2"/>
        <v/>
      </c>
      <c r="T39" s="169" t="str">
        <f t="shared" si="3"/>
        <v/>
      </c>
      <c r="U39" s="170"/>
      <c r="V39" s="415" t="str">
        <f>IF(VLOOKUP($B39,Datenblatt!$A$43:$A$66,1,1)=$B39,VLOOKUP($B39,Datenblatt!$A$43:$C$66,3,FALSE)," ")</f>
        <v xml:space="preserve"> </v>
      </c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22  Arbeitstage in diesem Monat</v>
      </c>
      <c r="C41" s="183"/>
      <c r="D41" s="184"/>
      <c r="E41" s="184"/>
      <c r="F41" s="184"/>
      <c r="G41" s="185"/>
      <c r="H41" s="24"/>
      <c r="I41" s="66"/>
      <c r="J41" s="66"/>
      <c r="K41" s="66"/>
      <c r="L41" s="66"/>
      <c r="M41" s="24" t="str">
        <f>"Sollstunden für März "&amp;Datenblatt!$F$5&amp;":"</f>
        <v>Sollstunden für März 2026:</v>
      </c>
      <c r="N41" s="66"/>
      <c r="O41" s="66"/>
      <c r="P41" s="186"/>
      <c r="R41" s="187"/>
      <c r="S41" s="403">
        <f>SUM(D9:D39)</f>
        <v>168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März "&amp;Datenblatt!F5&amp;":   ","Zeitdefizit im Monat März "&amp;Datenblatt!F5&amp;":   ")</f>
        <v xml:space="preserve">Zeitdefizit im Monat März 2026:   </v>
      </c>
      <c r="N42" s="189"/>
      <c r="O42" s="189"/>
      <c r="R42" s="190"/>
      <c r="S42" s="397">
        <f>T40-SUM(D9:D39)</f>
        <v>-168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Feber "&amp;Datenblatt!F5&amp;":   ","  - Zeitdefizit aus Feber "&amp;Datenblatt!F5&amp;":   ")</f>
        <v xml:space="preserve">  - Zeitdefizit aus Feber 2026:   </v>
      </c>
      <c r="S43" s="398">
        <f>Feb!S44</f>
        <v>-302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April "&amp;Datenblatt!F5</f>
        <v>Übertrag für April 2026</v>
      </c>
      <c r="R44" s="195"/>
      <c r="S44" s="399">
        <f>S43+S42-I42</f>
        <v>-470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2056" priority="1" stopIfTrue="1" operator="equal">
      <formula>MATCH($E15,0)</formula>
    </cfRule>
    <cfRule type="expression" dxfId="2055" priority="2" stopIfTrue="1">
      <formula>"WOCHENTAG($B8)=1"</formula>
    </cfRule>
    <cfRule type="expression" dxfId="2054" priority="3" stopIfTrue="1">
      <formula>"WOCHENTAG($B8)=7"</formula>
    </cfRule>
  </conditionalFormatting>
  <conditionalFormatting sqref="B9:C9">
    <cfRule type="expression" dxfId="2053" priority="68" stopIfTrue="1">
      <formula>($E$9=1)</formula>
    </cfRule>
  </conditionalFormatting>
  <conditionalFormatting sqref="B10:C10">
    <cfRule type="expression" dxfId="2052" priority="71" stopIfTrue="1">
      <formula>($E$10=1)</formula>
    </cfRule>
  </conditionalFormatting>
  <conditionalFormatting sqref="B11:C11">
    <cfRule type="expression" dxfId="2051" priority="74" stopIfTrue="1">
      <formula>($E$11=1)</formula>
    </cfRule>
  </conditionalFormatting>
  <conditionalFormatting sqref="B12:C12">
    <cfRule type="expression" dxfId="2050" priority="77" stopIfTrue="1">
      <formula>($E$12=1)</formula>
    </cfRule>
  </conditionalFormatting>
  <conditionalFormatting sqref="B13:C13">
    <cfRule type="expression" dxfId="2049" priority="80" stopIfTrue="1">
      <formula>($E$13=1)</formula>
    </cfRule>
  </conditionalFormatting>
  <conditionalFormatting sqref="B14:C14">
    <cfRule type="expression" dxfId="2048" priority="83" stopIfTrue="1">
      <formula>($E$14=1)</formula>
    </cfRule>
  </conditionalFormatting>
  <conditionalFormatting sqref="B15:C15">
    <cfRule type="expression" dxfId="2047" priority="86" stopIfTrue="1">
      <formula>($E$15=1)</formula>
    </cfRule>
  </conditionalFormatting>
  <conditionalFormatting sqref="B16:C16">
    <cfRule type="expression" dxfId="2046" priority="89" stopIfTrue="1">
      <formula>($E$16=1)</formula>
    </cfRule>
  </conditionalFormatting>
  <conditionalFormatting sqref="B17:C17">
    <cfRule type="expression" dxfId="2045" priority="92" stopIfTrue="1">
      <formula>($E$17=1)</formula>
    </cfRule>
  </conditionalFormatting>
  <conditionalFormatting sqref="B18:C18">
    <cfRule type="expression" dxfId="2044" priority="95" stopIfTrue="1">
      <formula>($E$18=1)</formula>
    </cfRule>
  </conditionalFormatting>
  <conditionalFormatting sqref="B19:C19">
    <cfRule type="expression" dxfId="2043" priority="98" stopIfTrue="1">
      <formula>($E$19=1)</formula>
    </cfRule>
  </conditionalFormatting>
  <conditionalFormatting sqref="B20:C20">
    <cfRule type="expression" dxfId="2042" priority="101" stopIfTrue="1">
      <formula>($E$20=1)</formula>
    </cfRule>
  </conditionalFormatting>
  <conditionalFormatting sqref="B21:C21">
    <cfRule type="expression" dxfId="2041" priority="104" stopIfTrue="1">
      <formula>($E$21=1)</formula>
    </cfRule>
  </conditionalFormatting>
  <conditionalFormatting sqref="B22:C22">
    <cfRule type="expression" dxfId="2040" priority="107" stopIfTrue="1">
      <formula>($E$22=1)</formula>
    </cfRule>
  </conditionalFormatting>
  <conditionalFormatting sqref="B23:C23">
    <cfRule type="expression" dxfId="2039" priority="110" stopIfTrue="1">
      <formula>($E$23=1)</formula>
    </cfRule>
  </conditionalFormatting>
  <conditionalFormatting sqref="B24:C24">
    <cfRule type="expression" dxfId="2038" priority="113" stopIfTrue="1">
      <formula>($E$24=1)</formula>
    </cfRule>
  </conditionalFormatting>
  <conditionalFormatting sqref="B25:C25">
    <cfRule type="expression" dxfId="2037" priority="116" stopIfTrue="1">
      <formula>($E$25=1)</formula>
    </cfRule>
  </conditionalFormatting>
  <conditionalFormatting sqref="B26:C26">
    <cfRule type="expression" dxfId="2036" priority="119" stopIfTrue="1">
      <formula>($E$26=1)</formula>
    </cfRule>
  </conditionalFormatting>
  <conditionalFormatting sqref="B27:C27">
    <cfRule type="expression" dxfId="2035" priority="122" stopIfTrue="1">
      <formula>($E$27=1)</formula>
    </cfRule>
  </conditionalFormatting>
  <conditionalFormatting sqref="B28:C28">
    <cfRule type="expression" dxfId="2034" priority="125" stopIfTrue="1">
      <formula>($E$28=1)</formula>
    </cfRule>
  </conditionalFormatting>
  <conditionalFormatting sqref="B29:C29">
    <cfRule type="expression" dxfId="2033" priority="128" stopIfTrue="1">
      <formula>($E$29=1)</formula>
    </cfRule>
  </conditionalFormatting>
  <conditionalFormatting sqref="B30:C30">
    <cfRule type="expression" dxfId="2032" priority="131" stopIfTrue="1">
      <formula>($E$30=1)</formula>
    </cfRule>
  </conditionalFormatting>
  <conditionalFormatting sqref="B31:C31">
    <cfRule type="expression" dxfId="2031" priority="134" stopIfTrue="1">
      <formula>($E$31=1)</formula>
    </cfRule>
  </conditionalFormatting>
  <conditionalFormatting sqref="B32:C32">
    <cfRule type="expression" dxfId="2030" priority="137" stopIfTrue="1">
      <formula>($E$32=1)</formula>
    </cfRule>
  </conditionalFormatting>
  <conditionalFormatting sqref="B33:C33">
    <cfRule type="expression" dxfId="2029" priority="140" stopIfTrue="1">
      <formula>($E$33=1)</formula>
    </cfRule>
  </conditionalFormatting>
  <conditionalFormatting sqref="B34:C34">
    <cfRule type="expression" dxfId="2028" priority="143" stopIfTrue="1">
      <formula>($E$34=1)</formula>
    </cfRule>
  </conditionalFormatting>
  <conditionalFormatting sqref="B35:C35">
    <cfRule type="expression" dxfId="2027" priority="146" stopIfTrue="1">
      <formula>($E$35=1)</formula>
    </cfRule>
  </conditionalFormatting>
  <conditionalFormatting sqref="B36:C36">
    <cfRule type="expression" dxfId="2026" priority="149" stopIfTrue="1">
      <formula>($E$36=1)</formula>
    </cfRule>
  </conditionalFormatting>
  <conditionalFormatting sqref="B37:C37">
    <cfRule type="expression" dxfId="2025" priority="152" stopIfTrue="1">
      <formula>($E$37=1)</formula>
    </cfRule>
  </conditionalFormatting>
  <conditionalFormatting sqref="B38:C38">
    <cfRule type="expression" dxfId="2024" priority="155" stopIfTrue="1">
      <formula>($E$38=1)</formula>
    </cfRule>
  </conditionalFormatting>
  <conditionalFormatting sqref="B39:C39">
    <cfRule type="expression" dxfId="2023" priority="158" stopIfTrue="1">
      <formula>($E$39=1)</formula>
    </cfRule>
  </conditionalFormatting>
  <conditionalFormatting sqref="B9:T9 V9">
    <cfRule type="expression" dxfId="2022" priority="5" stopIfTrue="1">
      <formula>($D$9="Ersatzruhetag")</formula>
    </cfRule>
    <cfRule type="expression" dxfId="2021" priority="4" stopIfTrue="1">
      <formula>($E$9=0)</formula>
    </cfRule>
  </conditionalFormatting>
  <conditionalFormatting sqref="B10:T10 V10">
    <cfRule type="expression" dxfId="2020" priority="7" stopIfTrue="1">
      <formula>($D$10="Ersatzruhetag")</formula>
    </cfRule>
    <cfRule type="expression" dxfId="2019" priority="6" stopIfTrue="1">
      <formula>($E$10=0)</formula>
    </cfRule>
  </conditionalFormatting>
  <conditionalFormatting sqref="B11:T11 V11">
    <cfRule type="expression" dxfId="2018" priority="9" stopIfTrue="1">
      <formula>($D$11="Ersatzruhetag")</formula>
    </cfRule>
    <cfRule type="expression" dxfId="2017" priority="8" stopIfTrue="1">
      <formula>($E$11=0)</formula>
    </cfRule>
  </conditionalFormatting>
  <conditionalFormatting sqref="B12:T12 V12">
    <cfRule type="expression" dxfId="2016" priority="11" stopIfTrue="1">
      <formula>($D$12="Ersatzruhetag")</formula>
    </cfRule>
    <cfRule type="expression" dxfId="2015" priority="10" stopIfTrue="1">
      <formula>($E$12=0)</formula>
    </cfRule>
  </conditionalFormatting>
  <conditionalFormatting sqref="B13:T13 V13">
    <cfRule type="expression" dxfId="2014" priority="12" stopIfTrue="1">
      <formula>($E$13=0)</formula>
    </cfRule>
    <cfRule type="expression" dxfId="2013" priority="13" stopIfTrue="1">
      <formula>($D$13="Ersatzruhetag")</formula>
    </cfRule>
  </conditionalFormatting>
  <conditionalFormatting sqref="B14:T14 V14">
    <cfRule type="expression" dxfId="2012" priority="14" stopIfTrue="1">
      <formula>($E$14=0)</formula>
    </cfRule>
    <cfRule type="expression" dxfId="2011" priority="15" stopIfTrue="1">
      <formula>($D$14="Ersatzruhetag")</formula>
    </cfRule>
  </conditionalFormatting>
  <conditionalFormatting sqref="B15:T15 V15">
    <cfRule type="expression" dxfId="2010" priority="16" stopIfTrue="1">
      <formula>($E$15=0)</formula>
    </cfRule>
    <cfRule type="expression" dxfId="2009" priority="17" stopIfTrue="1">
      <formula>($D$15="Ersatzruhetag")</formula>
    </cfRule>
  </conditionalFormatting>
  <conditionalFormatting sqref="B16:T16 V16">
    <cfRule type="expression" dxfId="2008" priority="18" stopIfTrue="1">
      <formula>($E$16=0)</formula>
    </cfRule>
    <cfRule type="expression" dxfId="2007" priority="19" stopIfTrue="1">
      <formula>($D$16="Ersatzruhetag")</formula>
    </cfRule>
  </conditionalFormatting>
  <conditionalFormatting sqref="B17:T17 V17">
    <cfRule type="expression" dxfId="2006" priority="21" stopIfTrue="1">
      <formula>($D$17="Ersatzruhetag")</formula>
    </cfRule>
    <cfRule type="expression" dxfId="2005" priority="20" stopIfTrue="1">
      <formula>($E$17=0)</formula>
    </cfRule>
  </conditionalFormatting>
  <conditionalFormatting sqref="B18:T18 V18">
    <cfRule type="expression" dxfId="2004" priority="22" stopIfTrue="1">
      <formula>($E$18=0)</formula>
    </cfRule>
    <cfRule type="expression" dxfId="2003" priority="23" stopIfTrue="1">
      <formula>($D$18="Ersatzruhetag")</formula>
    </cfRule>
  </conditionalFormatting>
  <conditionalFormatting sqref="B19:T19 V19">
    <cfRule type="expression" dxfId="2002" priority="25" stopIfTrue="1">
      <formula>($D$19="Ersatzruhetag")</formula>
    </cfRule>
    <cfRule type="expression" dxfId="2001" priority="24" stopIfTrue="1">
      <formula>($E$19=0)</formula>
    </cfRule>
  </conditionalFormatting>
  <conditionalFormatting sqref="B20:T20 V20">
    <cfRule type="expression" dxfId="2000" priority="26" stopIfTrue="1">
      <formula>($E$20=0)</formula>
    </cfRule>
    <cfRule type="expression" dxfId="1999" priority="27" stopIfTrue="1">
      <formula>($D$20="Ersatzruhetag")</formula>
    </cfRule>
  </conditionalFormatting>
  <conditionalFormatting sqref="B21:T21 V21">
    <cfRule type="expression" dxfId="1998" priority="28" stopIfTrue="1">
      <formula>($E$21=0)</formula>
    </cfRule>
    <cfRule type="expression" dxfId="1997" priority="29" stopIfTrue="1">
      <formula>($D$21="Ersatzruhetag")</formula>
    </cfRule>
  </conditionalFormatting>
  <conditionalFormatting sqref="B22:T22 V22">
    <cfRule type="expression" dxfId="1996" priority="30" stopIfTrue="1">
      <formula>($E$22=0)</formula>
    </cfRule>
    <cfRule type="expression" dxfId="1995" priority="31" stopIfTrue="1">
      <formula>($D$22="Ersatzruhetag")</formula>
    </cfRule>
  </conditionalFormatting>
  <conditionalFormatting sqref="B23:T23 V23">
    <cfRule type="expression" dxfId="1994" priority="32" stopIfTrue="1">
      <formula>($E$23=0)</formula>
    </cfRule>
    <cfRule type="expression" dxfId="1993" priority="33" stopIfTrue="1">
      <formula>($D$23="Ersatzruhetag")</formula>
    </cfRule>
  </conditionalFormatting>
  <conditionalFormatting sqref="B24:T24 V24">
    <cfRule type="expression" dxfId="1992" priority="34" stopIfTrue="1">
      <formula>($E$24=0)</formula>
    </cfRule>
    <cfRule type="expression" dxfId="1991" priority="35" stopIfTrue="1">
      <formula>($D$24="Ersatzruhetag")</formula>
    </cfRule>
  </conditionalFormatting>
  <conditionalFormatting sqref="B25:T25 V25">
    <cfRule type="expression" dxfId="1990" priority="37" stopIfTrue="1">
      <formula>($D$25="Ersatzruhetag")</formula>
    </cfRule>
    <cfRule type="expression" dxfId="1989" priority="36" stopIfTrue="1">
      <formula>($E$25=0)</formula>
    </cfRule>
  </conditionalFormatting>
  <conditionalFormatting sqref="B26:T26 V26">
    <cfRule type="expression" dxfId="1988" priority="38" stopIfTrue="1">
      <formula>($E$26=0)</formula>
    </cfRule>
    <cfRule type="expression" dxfId="1987" priority="39" stopIfTrue="1">
      <formula>($D$26="Ersatzruhetag")</formula>
    </cfRule>
  </conditionalFormatting>
  <conditionalFormatting sqref="B27:T27 V27">
    <cfRule type="expression" dxfId="1986" priority="40" stopIfTrue="1">
      <formula>($E$27=0)</formula>
    </cfRule>
    <cfRule type="expression" dxfId="1985" priority="41" stopIfTrue="1">
      <formula>($D$27="Ersatzruhetag")</formula>
    </cfRule>
  </conditionalFormatting>
  <conditionalFormatting sqref="B28:T28 V28">
    <cfRule type="expression" dxfId="1984" priority="43" stopIfTrue="1">
      <formula>($D$28="Ersatzruhetag")</formula>
    </cfRule>
    <cfRule type="expression" dxfId="1983" priority="42" stopIfTrue="1">
      <formula>($E$28=0)</formula>
    </cfRule>
  </conditionalFormatting>
  <conditionalFormatting sqref="B29:T29 V29">
    <cfRule type="expression" dxfId="1982" priority="44" stopIfTrue="1">
      <formula>($E$29=0)</formula>
    </cfRule>
    <cfRule type="expression" dxfId="1981" priority="45" stopIfTrue="1">
      <formula>($D$29="Ersatzruhetag")</formula>
    </cfRule>
  </conditionalFormatting>
  <conditionalFormatting sqref="B30:T30 V30">
    <cfRule type="expression" dxfId="1980" priority="46" stopIfTrue="1">
      <formula>($E$30=0)</formula>
    </cfRule>
    <cfRule type="expression" dxfId="1979" priority="47" stopIfTrue="1">
      <formula>($D$30="Ersatzruhetag")</formula>
    </cfRule>
  </conditionalFormatting>
  <conditionalFormatting sqref="B31:T31 V31">
    <cfRule type="expression" dxfId="1978" priority="48" stopIfTrue="1">
      <formula>($E$31=0)</formula>
    </cfRule>
    <cfRule type="expression" dxfId="1977" priority="49" stopIfTrue="1">
      <formula>($D$31="Ersatzruhetag")</formula>
    </cfRule>
  </conditionalFormatting>
  <conditionalFormatting sqref="B32:T32 V32">
    <cfRule type="expression" dxfId="1976" priority="51" stopIfTrue="1">
      <formula>($D$32="Ersatzruhetag")</formula>
    </cfRule>
    <cfRule type="expression" dxfId="1975" priority="50" stopIfTrue="1">
      <formula>($E$32=0)</formula>
    </cfRule>
  </conditionalFormatting>
  <conditionalFormatting sqref="B33:T33 V33">
    <cfRule type="expression" dxfId="1974" priority="53" stopIfTrue="1">
      <formula>($D$33="Ersatzruhetag")</formula>
    </cfRule>
    <cfRule type="expression" dxfId="1973" priority="52" stopIfTrue="1">
      <formula>($E$33=0)</formula>
    </cfRule>
  </conditionalFormatting>
  <conditionalFormatting sqref="B34:T34 V34">
    <cfRule type="expression" dxfId="1972" priority="55" stopIfTrue="1">
      <formula>($D$34="Ersatzruhetag")</formula>
    </cfRule>
    <cfRule type="expression" dxfId="1971" priority="54" stopIfTrue="1">
      <formula>($E$34=0)</formula>
    </cfRule>
  </conditionalFormatting>
  <conditionalFormatting sqref="B35:T35 V35">
    <cfRule type="expression" dxfId="1970" priority="57" stopIfTrue="1">
      <formula>($D$35="Ersatzruhetag")</formula>
    </cfRule>
    <cfRule type="expression" dxfId="1969" priority="56" stopIfTrue="1">
      <formula>($E$35=0)</formula>
    </cfRule>
  </conditionalFormatting>
  <conditionalFormatting sqref="B36:T36 V36">
    <cfRule type="expression" dxfId="1968" priority="59" stopIfTrue="1">
      <formula>($D$36="Ersatzruhetag")</formula>
    </cfRule>
    <cfRule type="expression" dxfId="1967" priority="58" stopIfTrue="1">
      <formula>($E$36=0)</formula>
    </cfRule>
  </conditionalFormatting>
  <conditionalFormatting sqref="B37:T37 V37">
    <cfRule type="expression" dxfId="1966" priority="61" stopIfTrue="1">
      <formula>($D$37="Ersatzruhetag")</formula>
    </cfRule>
    <cfRule type="expression" dxfId="1965" priority="60" stopIfTrue="1">
      <formula>($E$37=0)</formula>
    </cfRule>
  </conditionalFormatting>
  <conditionalFormatting sqref="B38:T38 V38">
    <cfRule type="expression" dxfId="1964" priority="63" stopIfTrue="1">
      <formula>($D$38="Ersatzruhetag")</formula>
    </cfRule>
    <cfRule type="expression" dxfId="1963" priority="62" stopIfTrue="1">
      <formula>($E$38=0)</formula>
    </cfRule>
  </conditionalFormatting>
  <conditionalFormatting sqref="B39:T39 V39">
    <cfRule type="expression" dxfId="1962" priority="65" stopIfTrue="1">
      <formula>($D$39="Ersatzruhetag")</formula>
    </cfRule>
    <cfRule type="expression" dxfId="1961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0.140625" style="94" hidden="1" customWidth="1"/>
    <col min="5" max="5" width="7.140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DATE(Datenblatt!F5,4,1)</f>
        <v>46113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"&amp;Datenblatt!$T$33&amp;";"&amp;"    Di: "&amp;Datenblatt!$T$34&amp;";"&amp;"    Mi: "&amp;Datenblatt!$T$35&amp;";"&amp;"    Do: "&amp;Datenblatt!$T$36&amp;";"&amp;"    Fr: "&amp;Datenblatt!$T$37&amp;";"&amp;"    Sa: "&amp;Datenblatt!$T$38&amp;";"&amp;"    So: "&amp;Datenblatt!$T$39&amp;""&amp;"     -    Wochenarbeitszeit:  "&amp;Datenblatt!$T$40&amp;"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März!T5+Datenblatt!T41</f>
        <v>190</v>
      </c>
      <c r="U4" s="405"/>
      <c r="V4" s="141"/>
      <c r="W4" s="142" t="str">
        <f>"Urlaubsanspruch per 01.04."&amp;Datenblatt!$F$5</f>
        <v>Urlaubsanspruch per 01.04.2026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"&amp;IF(Datenblatt!T42=1,Datenblatt!D34,IF(Datenblatt!T42=2,Datenblatt!D35,IF(Datenblatt!T42=3,Datenblatt!D36,IF(Datenblatt!T42=4,Datenblatt!D37))))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190</v>
      </c>
      <c r="U5" s="405"/>
      <c r="V5" s="141"/>
      <c r="W5" s="143" t="str">
        <f>"Resturlaub per 30.04."&amp;Datenblatt!$F$5</f>
        <v>Resturlaub per 30.04.2026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46113</v>
      </c>
      <c r="C9" s="157">
        <f t="shared" ref="C9:C38" si="0">B9</f>
        <v>46113</v>
      </c>
      <c r="D9" s="350">
        <f>IF(VLOOKUP($B9,Datenblatt!$A$43:$A$65,1,1)=$B9,0,VLOOKUP(WEEKDAY($B9),Datenblatt!$R$33:$T$39,3,FALSE))</f>
        <v>8</v>
      </c>
      <c r="E9" s="350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8" si="4">B9+1</f>
        <v>46114</v>
      </c>
      <c r="C10" s="157">
        <f t="shared" si="0"/>
        <v>46114</v>
      </c>
      <c r="D10" s="351">
        <f>IF(VLOOKUP($B10,Datenblatt!$A$43:$A$65,1,1)=$B10,0,VLOOKUP(WEEKDAY($B10),Datenblatt!$R$33:$T$39,3,FALSE))</f>
        <v>8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46115</v>
      </c>
      <c r="C11" s="157">
        <f t="shared" si="0"/>
        <v>46115</v>
      </c>
      <c r="D11" s="352">
        <f>IF(VLOOKUP($B11,Datenblatt!$A$43:$A$65,1,1)=$B11,0,VLOOKUP(WEEKDAY($B11),Datenblatt!$R$33:$T$39,3,FALSE))</f>
        <v>0</v>
      </c>
      <c r="E11" s="352">
        <f>IF(VLOOKUP($B11,Datenblatt!$A$43:$A$65,1,1)=$B11,0,IF(WEEKDAY($B11)=7,1,IF(WEEKDAY($B11)=1,0,2)))</f>
        <v>0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>Karfreitag</v>
      </c>
      <c r="W11" s="413"/>
      <c r="X11" s="414"/>
      <c r="AA11" s="173"/>
    </row>
    <row r="12" spans="2:128" ht="12.2" customHeight="1">
      <c r="B12" s="156">
        <f t="shared" si="4"/>
        <v>46116</v>
      </c>
      <c r="C12" s="157">
        <f t="shared" si="0"/>
        <v>46116</v>
      </c>
      <c r="D12" s="352">
        <f>IF(VLOOKUP($B12,Datenblatt!$A$43:$A$65,1,1)=$B12,0,VLOOKUP(WEEKDAY($B12),Datenblatt!$R$33:$T$39,3,FALSE))</f>
        <v>0</v>
      </c>
      <c r="E12" s="352">
        <f>IF(VLOOKUP($B12,Datenblatt!$A$43:$A$65,1,1)=$B12,0,IF(WEEKDAY($B12)=7,1,IF(WEEKDAY($B12)=1,0,2)))</f>
        <v>1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46117</v>
      </c>
      <c r="C13" s="157">
        <f t="shared" si="0"/>
        <v>46117</v>
      </c>
      <c r="D13" s="352">
        <f>IF(VLOOKUP($B13,Datenblatt!$A$43:$A$65,1,1)=$B13,0,VLOOKUP(WEEKDAY($B13),Datenblatt!$R$33:$T$39,3,FALSE))</f>
        <v>0</v>
      </c>
      <c r="E13" s="352">
        <f>IF(VLOOKUP($B13,Datenblatt!$A$43:$A$65,1,1)=$B13,0,IF(WEEKDAY($B13)=7,1,IF(WEEKDAY($B13)=1,0,2)))</f>
        <v>0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>Ostersonntag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46118</v>
      </c>
      <c r="C14" s="157">
        <f t="shared" si="0"/>
        <v>46118</v>
      </c>
      <c r="D14" s="352">
        <f>IF(VLOOKUP($B14,Datenblatt!$A$43:$A$65,1,1)=$B14,0,VLOOKUP(WEEKDAY($B14),Datenblatt!$R$33:$T$39,3,FALSE))</f>
        <v>0</v>
      </c>
      <c r="E14" s="352">
        <f>IF(VLOOKUP($B14,Datenblatt!$A$43:$A$65,1,1)=$B14,0,IF(WEEKDAY($B14)=7,1,IF(WEEKDAY($B14)=1,0,2)))</f>
        <v>0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>Ostermontag</v>
      </c>
      <c r="W14" s="413"/>
      <c r="X14" s="414"/>
      <c r="AA14" s="173"/>
    </row>
    <row r="15" spans="2:128" ht="12.2" customHeight="1">
      <c r="B15" s="156">
        <f t="shared" si="4"/>
        <v>46119</v>
      </c>
      <c r="C15" s="157">
        <f t="shared" si="0"/>
        <v>46119</v>
      </c>
      <c r="D15" s="352">
        <f>IF(VLOOKUP($B15,Datenblatt!$A$43:$A$65,1,1)=$B15,0,VLOOKUP(WEEKDAY($B15),Datenblatt!$R$33:$T$39,3,FALSE))</f>
        <v>8</v>
      </c>
      <c r="E15" s="352">
        <f>IF(VLOOKUP($B15,Datenblatt!$A$43:$A$65,1,1)=$B15,0,IF(WEEKDAY($B15)=7,1,IF(WEEKDAY($B15)=1,0,2)))</f>
        <v>2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46120</v>
      </c>
      <c r="C16" s="157">
        <f t="shared" si="0"/>
        <v>46120</v>
      </c>
      <c r="D16" s="352">
        <f>IF(VLOOKUP($B16,Datenblatt!$A$43:$A$65,1,1)=$B16,0,VLOOKUP(WEEKDAY($B16),Datenblatt!$R$33:$T$39,3,FALSE))</f>
        <v>8</v>
      </c>
      <c r="E16" s="352">
        <f>IF(VLOOKUP($B16,Datenblatt!$A$43:$A$65,1,1)=$B16,0,IF(WEEKDAY($B16)=7,1,IF(WEEKDAY($B16)=1,0,2)))</f>
        <v>2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46121</v>
      </c>
      <c r="C17" s="157">
        <f t="shared" si="0"/>
        <v>46121</v>
      </c>
      <c r="D17" s="352">
        <f>IF(VLOOKUP($B17,Datenblatt!$A$43:$A$65,1,1)=$B17,0,VLOOKUP(WEEKDAY($B17),Datenblatt!$R$33:$T$39,3,FALSE))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46122</v>
      </c>
      <c r="C18" s="157">
        <f t="shared" si="0"/>
        <v>46122</v>
      </c>
      <c r="D18" s="352">
        <f>IF(VLOOKUP($B18,Datenblatt!$A$43:$A$65,1,1)=$B18,0,VLOOKUP(WEEKDAY($B18),Datenblatt!$R$33:$T$39,3,FALSE))</f>
        <v>6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46123</v>
      </c>
      <c r="C19" s="157">
        <f t="shared" si="0"/>
        <v>46123</v>
      </c>
      <c r="D19" s="352">
        <f>IF(VLOOKUP($B19,Datenblatt!$A$43:$A$65,1,1)=$B19,0,VLOOKUP(WEEKDAY($B19),Datenblatt!$R$33:$T$39,3,FALSE))</f>
        <v>0</v>
      </c>
      <c r="E19" s="352">
        <f>IF(VLOOKUP($B19,Datenblatt!$A$43:$A$65,1,1)=$B19,0,IF(WEEKDAY($B19)=7,1,IF(WEEKDAY($B19)=1,0,2)))</f>
        <v>1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46124</v>
      </c>
      <c r="C20" s="157">
        <f t="shared" si="0"/>
        <v>46124</v>
      </c>
      <c r="D20" s="352">
        <f>IF(VLOOKUP($B20,Datenblatt!$A$43:$A$65,1,1)=$B20,0,VLOOKUP(WEEKDAY($B20),Datenblatt!$R$33:$T$39,3,FALSE))</f>
        <v>0</v>
      </c>
      <c r="E20" s="352">
        <f>IF(VLOOKUP($B20,Datenblatt!$A$43:$A$65,1,1)=$B20,0,IF(WEEKDAY($B20)=7,1,IF(WEEKDAY($B20)=1,0,2)))</f>
        <v>0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46125</v>
      </c>
      <c r="C21" s="157">
        <f t="shared" si="0"/>
        <v>46125</v>
      </c>
      <c r="D21" s="352">
        <f>IF(VLOOKUP($B21,Datenblatt!$A$43:$A$65,1,1)=$B21,0,VLOOKUP(WEEKDAY($B21),Datenblatt!$R$33:$T$39,3,FALSE))</f>
        <v>8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46126</v>
      </c>
      <c r="C22" s="157">
        <f t="shared" si="0"/>
        <v>46126</v>
      </c>
      <c r="D22" s="352">
        <f>IF(VLOOKUP($B22,Datenblatt!$A$43:$A$65,1,1)=$B22,0,VLOOKUP(WEEKDAY($B22),Datenblatt!$R$33:$T$39,3,FALSE))</f>
        <v>8</v>
      </c>
      <c r="E22" s="352">
        <f>IF(VLOOKUP($B22,Datenblatt!$A$43:$A$65,1,1)=$B22,0,IF(WEEKDAY($B22)=7,1,IF(WEEKDAY($B22)=1,0,2)))</f>
        <v>2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46127</v>
      </c>
      <c r="C23" s="157">
        <f t="shared" si="0"/>
        <v>46127</v>
      </c>
      <c r="D23" s="352">
        <f>IF(VLOOKUP($B23,Datenblatt!$A$43:$A$65,1,1)=$B23,0,VLOOKUP(WEEKDAY($B23),Datenblatt!$R$33:$T$39,3,FALSE))</f>
        <v>8</v>
      </c>
      <c r="E23" s="352">
        <f>IF(VLOOKUP($B23,Datenblatt!$A$43:$A$65,1,1)=$B23,0,IF(WEEKDAY($B23)=7,1,IF(WEEKDAY($B23)=1,0,2)))</f>
        <v>2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46128</v>
      </c>
      <c r="C24" s="157">
        <f t="shared" si="0"/>
        <v>46128</v>
      </c>
      <c r="D24" s="352">
        <f>IF(VLOOKUP($B24,Datenblatt!$A$43:$A$65,1,1)=$B24,0,VLOOKUP(WEEKDAY($B24),Datenblatt!$R$33:$T$39,3,FALSE))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46129</v>
      </c>
      <c r="C25" s="157">
        <f t="shared" si="0"/>
        <v>46129</v>
      </c>
      <c r="D25" s="352">
        <f>IF(VLOOKUP($B25,Datenblatt!$A$43:$A$65,1,1)=$B25,0,VLOOKUP(WEEKDAY($B25),Datenblatt!$R$33:$T$39,3,FALSE))</f>
        <v>6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46130</v>
      </c>
      <c r="C26" s="157">
        <f t="shared" si="0"/>
        <v>46130</v>
      </c>
      <c r="D26" s="352">
        <f>IF(VLOOKUP($B26,Datenblatt!$A$43:$A$65,1,1)=$B26,0,VLOOKUP(WEEKDAY($B26),Datenblatt!$R$33:$T$39,3,FALSE))</f>
        <v>0</v>
      </c>
      <c r="E26" s="352">
        <f>IF(VLOOKUP($B26,Datenblatt!$A$43:$A$65,1,1)=$B26,0,IF(WEEKDAY($B26)=7,1,IF(WEEKDAY($B26)=1,0,2)))</f>
        <v>1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46131</v>
      </c>
      <c r="C27" s="157">
        <f t="shared" si="0"/>
        <v>46131</v>
      </c>
      <c r="D27" s="352">
        <f>IF(VLOOKUP($B27,Datenblatt!$A$43:$A$65,1,1)=$B27,0,VLOOKUP(WEEKDAY($B27),Datenblatt!$R$33:$T$39,3,FALSE))</f>
        <v>0</v>
      </c>
      <c r="E27" s="352">
        <f>IF(VLOOKUP($B27,Datenblatt!$A$43:$A$65,1,1)=$B27,0,IF(WEEKDAY($B27)=7,1,IF(WEEKDAY($B27)=1,0,2)))</f>
        <v>0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46132</v>
      </c>
      <c r="C28" s="157">
        <f t="shared" si="0"/>
        <v>46132</v>
      </c>
      <c r="D28" s="352">
        <f>IF(VLOOKUP($B28,Datenblatt!$A$43:$A$65,1,1)=$B28,0,VLOOKUP(WEEKDAY($B28),Datenblatt!$R$33:$T$39,3,FALSE))</f>
        <v>8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46133</v>
      </c>
      <c r="C29" s="157">
        <f t="shared" si="0"/>
        <v>46133</v>
      </c>
      <c r="D29" s="352">
        <f>IF(VLOOKUP($B29,Datenblatt!$A$43:$A$65,1,1)=$B29,0,VLOOKUP(WEEKDAY($B29),Datenblatt!$R$33:$T$39,3,FALSE))</f>
        <v>8</v>
      </c>
      <c r="E29" s="352">
        <f>IF(VLOOKUP($B29,Datenblatt!$A$43:$A$65,1,1)=$B29,0,IF(WEEKDAY($B29)=7,1,IF(WEEKDAY($B29)=1,0,2)))</f>
        <v>2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46134</v>
      </c>
      <c r="C30" s="157">
        <f t="shared" si="0"/>
        <v>46134</v>
      </c>
      <c r="D30" s="352">
        <f>IF(VLOOKUP($B30,Datenblatt!$A$43:$A$65,1,1)=$B30,0,VLOOKUP(WEEKDAY($B30),Datenblatt!$R$33:$T$39,3,FALSE))</f>
        <v>8</v>
      </c>
      <c r="E30" s="352">
        <f>IF(VLOOKUP($B30,Datenblatt!$A$43:$A$65,1,1)=$B30,0,IF(WEEKDAY($B30)=7,1,IF(WEEKDAY($B30)=1,0,2)))</f>
        <v>2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46135</v>
      </c>
      <c r="C31" s="157">
        <f t="shared" si="0"/>
        <v>46135</v>
      </c>
      <c r="D31" s="352">
        <f>IF(VLOOKUP($B31,Datenblatt!$A$43:$A$65,1,1)=$B31,0,VLOOKUP(WEEKDAY($B31),Datenblatt!$R$33:$T$39,3,FALSE))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46136</v>
      </c>
      <c r="C32" s="157">
        <f t="shared" si="0"/>
        <v>46136</v>
      </c>
      <c r="D32" s="352">
        <f>IF(VLOOKUP($B32,Datenblatt!$A$43:$A$65,1,1)=$B32,0,VLOOKUP(WEEKDAY($B32),Datenblatt!$R$33:$T$39,3,FALSE))</f>
        <v>6</v>
      </c>
      <c r="E32" s="352">
        <f>IF(VLOOKUP($B32,Datenblatt!$A$43:$A$65,1,1)=$B32,0,IF(WEEKDAY($B32)=7,1,IF(WEEKDAY($B32)=1,0,2)))</f>
        <v>2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46137</v>
      </c>
      <c r="C33" s="157">
        <f t="shared" si="0"/>
        <v>46137</v>
      </c>
      <c r="D33" s="352">
        <f>IF(VLOOKUP($B33,Datenblatt!$A$43:$A$65,1,1)=$B33,0,VLOOKUP(WEEKDAY($B33),Datenblatt!$R$33:$T$39,3,FALSE))</f>
        <v>0</v>
      </c>
      <c r="E33" s="352">
        <f>IF(VLOOKUP($B33,Datenblatt!$A$43:$A$65,1,1)=$B33,0,IF(WEEKDAY($B33)=7,1,IF(WEEKDAY($B33)=1,0,2)))</f>
        <v>1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46138</v>
      </c>
      <c r="C34" s="157">
        <f t="shared" si="0"/>
        <v>46138</v>
      </c>
      <c r="D34" s="352">
        <f>IF(VLOOKUP($B34,Datenblatt!$A$43:$A$65,1,1)=$B34,0,VLOOKUP(WEEKDAY($B34),Datenblatt!$R$33:$T$39,3,FALSE))</f>
        <v>0</v>
      </c>
      <c r="E34" s="352">
        <f>IF(VLOOKUP($B34,Datenblatt!$A$43:$A$65,1,1)=$B34,0,IF(WEEKDAY($B34)=7,1,IF(WEEKDAY($B34)=1,0,2)))</f>
        <v>0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46139</v>
      </c>
      <c r="C35" s="157">
        <f t="shared" si="0"/>
        <v>46139</v>
      </c>
      <c r="D35" s="352">
        <f>IF(VLOOKUP($B35,Datenblatt!$A$43:$A$65,1,1)=$B35,0,VLOOKUP(WEEKDAY($B35),Datenblatt!$R$33:$T$39,3,FALSE))</f>
        <v>8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46140</v>
      </c>
      <c r="C36" s="157">
        <f t="shared" si="0"/>
        <v>46140</v>
      </c>
      <c r="D36" s="352">
        <f>IF(VLOOKUP($B36,Datenblatt!$A$43:$A$65,1,1)=$B36,0,VLOOKUP(WEEKDAY($B36),Datenblatt!$R$33:$T$39,3,FALSE))</f>
        <v>8</v>
      </c>
      <c r="E36" s="352">
        <f>IF(VLOOKUP($B36,Datenblatt!$A$43:$A$65,1,1)=$B36,0,IF(WEEKDAY($B36)=7,1,IF(WEEKDAY($B36)=1,0,2)))</f>
        <v>2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46141</v>
      </c>
      <c r="C37" s="157">
        <f t="shared" si="0"/>
        <v>46141</v>
      </c>
      <c r="D37" s="352">
        <f>IF(VLOOKUP($B37,Datenblatt!$A$43:$A$65,1,1)=$B37,0,VLOOKUP(WEEKDAY($B37),Datenblatt!$R$33:$T$39,3,FALSE))</f>
        <v>8</v>
      </c>
      <c r="E37" s="352">
        <f>IF(VLOOKUP($B37,Datenblatt!$A$43:$A$65,1,1)=$B37,0,IF(WEEKDAY($B37)=7,1,IF(WEEKDAY($B37)=1,0,2)))</f>
        <v>2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46142</v>
      </c>
      <c r="C38" s="157">
        <f t="shared" si="0"/>
        <v>46142</v>
      </c>
      <c r="D38" s="352">
        <f>IF(VLOOKUP($B38,Datenblatt!$A$43:$A$65,1,1)=$B38,0,VLOOKUP(WEEKDAY($B38),Datenblatt!$R$33:$T$39,3,FALSE))</f>
        <v>8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/>
      <c r="C39" s="157"/>
      <c r="D39" s="158"/>
      <c r="E39" s="158"/>
      <c r="F39" s="197"/>
      <c r="G39" s="198"/>
      <c r="H39" s="199"/>
      <c r="I39" s="200"/>
      <c r="J39" s="199"/>
      <c r="K39" s="200"/>
      <c r="L39" s="201"/>
      <c r="M39" s="202"/>
      <c r="N39" s="203"/>
      <c r="O39" s="203"/>
      <c r="P39" s="204"/>
      <c r="Q39" s="205"/>
      <c r="R39" s="171" t="str">
        <f t="shared" si="1"/>
        <v/>
      </c>
      <c r="S39" s="172" t="str">
        <f t="shared" si="2"/>
        <v/>
      </c>
      <c r="T39" s="169" t="str">
        <f t="shared" si="3"/>
        <v/>
      </c>
      <c r="U39" s="170"/>
      <c r="V39" s="415"/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20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April "&amp;Datenblatt!$F$5&amp;":"</f>
        <v>Sollstunden für April 2026:</v>
      </c>
      <c r="N41" s="66"/>
      <c r="O41" s="66"/>
      <c r="P41" s="186"/>
      <c r="R41" s="187"/>
      <c r="S41" s="403">
        <f>SUM(D9:D39)</f>
        <v>154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April "&amp;Datenblatt!F5&amp;":   ","Zeitdefizit im Monat April "&amp;Datenblatt!F5&amp;":   ")</f>
        <v xml:space="preserve">Zeitdefizit im Monat April 2026:   </v>
      </c>
      <c r="N42" s="189"/>
      <c r="O42" s="189"/>
      <c r="R42" s="190"/>
      <c r="S42" s="397">
        <f>T40-SUM(D9:D39)</f>
        <v>-154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März "&amp;Datenblatt!F5&amp;":   ","  - Zeitdefizit aus März "&amp;Datenblatt!F5&amp;":   ")</f>
        <v xml:space="preserve">  - Zeitdefizit aus März 2026:   </v>
      </c>
      <c r="S43" s="398">
        <f>März!S44</f>
        <v>-470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Mai "&amp;Datenblatt!F5</f>
        <v>Übertrag für Mai 2026</v>
      </c>
      <c r="R44" s="195"/>
      <c r="S44" s="399">
        <f>S43+S42-I42</f>
        <v>-624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960" priority="1" stopIfTrue="1" operator="equal">
      <formula>MATCH($E15,0)</formula>
    </cfRule>
    <cfRule type="expression" dxfId="1959" priority="2" stopIfTrue="1">
      <formula>"WOCHENTAG($B8)=1"</formula>
    </cfRule>
    <cfRule type="expression" dxfId="1958" priority="3" stopIfTrue="1">
      <formula>"WOCHENTAG($B8)=7"</formula>
    </cfRule>
  </conditionalFormatting>
  <conditionalFormatting sqref="B9:C9">
    <cfRule type="expression" dxfId="1957" priority="71" stopIfTrue="1">
      <formula>($E$9=1)</formula>
    </cfRule>
  </conditionalFormatting>
  <conditionalFormatting sqref="B10:C10">
    <cfRule type="expression" dxfId="1956" priority="74" stopIfTrue="1">
      <formula>($E$10=1)</formula>
    </cfRule>
  </conditionalFormatting>
  <conditionalFormatting sqref="B11:C11">
    <cfRule type="expression" dxfId="1955" priority="77" stopIfTrue="1">
      <formula>($E$11=1)</formula>
    </cfRule>
  </conditionalFormatting>
  <conditionalFormatting sqref="B12:C12">
    <cfRule type="expression" dxfId="1954" priority="80" stopIfTrue="1">
      <formula>($E$12=1)</formula>
    </cfRule>
  </conditionalFormatting>
  <conditionalFormatting sqref="B13:C13">
    <cfRule type="expression" dxfId="1953" priority="83" stopIfTrue="1">
      <formula>($E$13=1)</formula>
    </cfRule>
  </conditionalFormatting>
  <conditionalFormatting sqref="B14:C14">
    <cfRule type="expression" dxfId="1952" priority="86" stopIfTrue="1">
      <formula>($E$14=1)</formula>
    </cfRule>
  </conditionalFormatting>
  <conditionalFormatting sqref="B15:C15">
    <cfRule type="expression" dxfId="1951" priority="89" stopIfTrue="1">
      <formula>($E$15=1)</formula>
    </cfRule>
  </conditionalFormatting>
  <conditionalFormatting sqref="B16:C16">
    <cfRule type="expression" dxfId="1950" priority="92" stopIfTrue="1">
      <formula>($E$16=1)</formula>
    </cfRule>
  </conditionalFormatting>
  <conditionalFormatting sqref="B17:C17">
    <cfRule type="expression" dxfId="1949" priority="95" stopIfTrue="1">
      <formula>($E$17=1)</formula>
    </cfRule>
  </conditionalFormatting>
  <conditionalFormatting sqref="B18:C18">
    <cfRule type="expression" dxfId="1948" priority="98" stopIfTrue="1">
      <formula>($E$18=1)</formula>
    </cfRule>
  </conditionalFormatting>
  <conditionalFormatting sqref="B19:C19">
    <cfRule type="expression" dxfId="1947" priority="101" stopIfTrue="1">
      <formula>($E$19=1)</formula>
    </cfRule>
  </conditionalFormatting>
  <conditionalFormatting sqref="B20:C20">
    <cfRule type="expression" dxfId="1946" priority="104" stopIfTrue="1">
      <formula>($E$20=1)</formula>
    </cfRule>
  </conditionalFormatting>
  <conditionalFormatting sqref="B21:C21">
    <cfRule type="expression" dxfId="1945" priority="107" stopIfTrue="1">
      <formula>($E$21=1)</formula>
    </cfRule>
  </conditionalFormatting>
  <conditionalFormatting sqref="B22:C22">
    <cfRule type="expression" dxfId="1944" priority="110" stopIfTrue="1">
      <formula>($E$22=1)</formula>
    </cfRule>
  </conditionalFormatting>
  <conditionalFormatting sqref="B23:C23">
    <cfRule type="expression" dxfId="1943" priority="113" stopIfTrue="1">
      <formula>($E$23=1)</formula>
    </cfRule>
  </conditionalFormatting>
  <conditionalFormatting sqref="B24:C24">
    <cfRule type="expression" dxfId="1942" priority="116" stopIfTrue="1">
      <formula>($E$24=1)</formula>
    </cfRule>
  </conditionalFormatting>
  <conditionalFormatting sqref="B25:C25">
    <cfRule type="expression" dxfId="1941" priority="119" stopIfTrue="1">
      <formula>($E$25=1)</formula>
    </cfRule>
  </conditionalFormatting>
  <conditionalFormatting sqref="B26:C26">
    <cfRule type="expression" dxfId="1940" priority="122" stopIfTrue="1">
      <formula>($E$26=1)</formula>
    </cfRule>
  </conditionalFormatting>
  <conditionalFormatting sqref="B27:C27">
    <cfRule type="expression" dxfId="1939" priority="125" stopIfTrue="1">
      <formula>($E$27=1)</formula>
    </cfRule>
  </conditionalFormatting>
  <conditionalFormatting sqref="B28:C28">
    <cfRule type="expression" dxfId="1938" priority="128" stopIfTrue="1">
      <formula>($E$28=1)</formula>
    </cfRule>
  </conditionalFormatting>
  <conditionalFormatting sqref="B29:C29">
    <cfRule type="expression" dxfId="1937" priority="131" stopIfTrue="1">
      <formula>($E$29=1)</formula>
    </cfRule>
  </conditionalFormatting>
  <conditionalFormatting sqref="B30:C30">
    <cfRule type="expression" dxfId="1936" priority="134" stopIfTrue="1">
      <formula>($E$30=1)</formula>
    </cfRule>
  </conditionalFormatting>
  <conditionalFormatting sqref="B31:C31">
    <cfRule type="expression" dxfId="1935" priority="137" stopIfTrue="1">
      <formula>($E$31=1)</formula>
    </cfRule>
  </conditionalFormatting>
  <conditionalFormatting sqref="B32:C32">
    <cfRule type="expression" dxfId="1934" priority="140" stopIfTrue="1">
      <formula>($E$32=1)</formula>
    </cfRule>
  </conditionalFormatting>
  <conditionalFormatting sqref="B33:C33">
    <cfRule type="expression" dxfId="1933" priority="143" stopIfTrue="1">
      <formula>($E$33=1)</formula>
    </cfRule>
  </conditionalFormatting>
  <conditionalFormatting sqref="B34:C34">
    <cfRule type="expression" dxfId="1932" priority="146" stopIfTrue="1">
      <formula>($E$34=1)</formula>
    </cfRule>
  </conditionalFormatting>
  <conditionalFormatting sqref="B35:C35">
    <cfRule type="expression" dxfId="1931" priority="149" stopIfTrue="1">
      <formula>($E$35=1)</formula>
    </cfRule>
  </conditionalFormatting>
  <conditionalFormatting sqref="B36:C36">
    <cfRule type="expression" dxfId="1930" priority="152" stopIfTrue="1">
      <formula>($E$36=1)</formula>
    </cfRule>
  </conditionalFormatting>
  <conditionalFormatting sqref="B37:C37">
    <cfRule type="expression" dxfId="1929" priority="155" stopIfTrue="1">
      <formula>($E$37=1)</formula>
    </cfRule>
  </conditionalFormatting>
  <conditionalFormatting sqref="B38:C38">
    <cfRule type="expression" dxfId="1928" priority="158" stopIfTrue="1">
      <formula>($E$38=1)</formula>
    </cfRule>
  </conditionalFormatting>
  <conditionalFormatting sqref="B9:T9 V9">
    <cfRule type="expression" dxfId="1927" priority="9" stopIfTrue="1">
      <formula>($E$9=0)</formula>
    </cfRule>
    <cfRule type="expression" dxfId="1926" priority="10" stopIfTrue="1">
      <formula>($D$9="Ersatzruhetag")</formula>
    </cfRule>
  </conditionalFormatting>
  <conditionalFormatting sqref="B10:T10 V10">
    <cfRule type="expression" dxfId="1925" priority="11" stopIfTrue="1">
      <formula>($E$10=0)</formula>
    </cfRule>
    <cfRule type="expression" dxfId="1924" priority="12" stopIfTrue="1">
      <formula>($D$10="Ersatzruhetag")</formula>
    </cfRule>
  </conditionalFormatting>
  <conditionalFormatting sqref="B11:T11 V11">
    <cfRule type="expression" dxfId="1923" priority="13" stopIfTrue="1">
      <formula>($E$11=0)</formula>
    </cfRule>
    <cfRule type="expression" dxfId="1922" priority="14" stopIfTrue="1">
      <formula>($D$11="Ersatzruhetag")</formula>
    </cfRule>
  </conditionalFormatting>
  <conditionalFormatting sqref="B12:T12 V12">
    <cfRule type="expression" dxfId="1921" priority="16" stopIfTrue="1">
      <formula>($D$12="Ersatzruhetag")</formula>
    </cfRule>
    <cfRule type="expression" dxfId="1920" priority="15" stopIfTrue="1">
      <formula>($E$12=0)</formula>
    </cfRule>
  </conditionalFormatting>
  <conditionalFormatting sqref="B13:T13 V13">
    <cfRule type="expression" dxfId="1919" priority="17" stopIfTrue="1">
      <formula>($E$13=0)</formula>
    </cfRule>
    <cfRule type="expression" dxfId="1918" priority="18" stopIfTrue="1">
      <formula>($D$13="Ersatzruhetag")</formula>
    </cfRule>
  </conditionalFormatting>
  <conditionalFormatting sqref="B14:T14 V14">
    <cfRule type="expression" dxfId="1917" priority="19" stopIfTrue="1">
      <formula>($E$14=0)</formula>
    </cfRule>
    <cfRule type="expression" dxfId="1916" priority="20" stopIfTrue="1">
      <formula>($D$14="Ersatzruhetag")</formula>
    </cfRule>
  </conditionalFormatting>
  <conditionalFormatting sqref="B15:T15 V15">
    <cfRule type="expression" dxfId="1915" priority="21" stopIfTrue="1">
      <formula>($E$15=0)</formula>
    </cfRule>
    <cfRule type="expression" dxfId="1914" priority="22" stopIfTrue="1">
      <formula>($D$15="Ersatzruhetag")</formula>
    </cfRule>
  </conditionalFormatting>
  <conditionalFormatting sqref="B16:T16 V16">
    <cfRule type="expression" dxfId="1913" priority="24" stopIfTrue="1">
      <formula>($D$16="Ersatzruhetag")</formula>
    </cfRule>
    <cfRule type="expression" dxfId="1912" priority="23" stopIfTrue="1">
      <formula>($E$16=0)</formula>
    </cfRule>
  </conditionalFormatting>
  <conditionalFormatting sqref="B17:T17 V17">
    <cfRule type="expression" dxfId="1911" priority="26" stopIfTrue="1">
      <formula>($D$17="Ersatzruhetag")</formula>
    </cfRule>
    <cfRule type="expression" dxfId="1910" priority="25" stopIfTrue="1">
      <formula>($E$17=0)</formula>
    </cfRule>
  </conditionalFormatting>
  <conditionalFormatting sqref="B18:T18 V18">
    <cfRule type="expression" dxfId="1909" priority="28" stopIfTrue="1">
      <formula>($D$18="Ersatzruhetag")</formula>
    </cfRule>
    <cfRule type="expression" dxfId="1908" priority="27" stopIfTrue="1">
      <formula>($E$18=0)</formula>
    </cfRule>
  </conditionalFormatting>
  <conditionalFormatting sqref="B19:T19 V19">
    <cfRule type="expression" dxfId="1907" priority="29" stopIfTrue="1">
      <formula>($E$19=0)</formula>
    </cfRule>
    <cfRule type="expression" dxfId="1906" priority="30" stopIfTrue="1">
      <formula>($D$19="Ersatzruhetag")</formula>
    </cfRule>
  </conditionalFormatting>
  <conditionalFormatting sqref="B20:T20 V20">
    <cfRule type="expression" dxfId="1905" priority="31" stopIfTrue="1">
      <formula>($E$20=0)</formula>
    </cfRule>
    <cfRule type="expression" dxfId="1904" priority="32" stopIfTrue="1">
      <formula>($D$20="Ersatzruhetag")</formula>
    </cfRule>
  </conditionalFormatting>
  <conditionalFormatting sqref="B21:T21 V21">
    <cfRule type="expression" dxfId="1903" priority="34" stopIfTrue="1">
      <formula>($D$21="Ersatzruhetag")</formula>
    </cfRule>
    <cfRule type="expression" dxfId="1902" priority="33" stopIfTrue="1">
      <formula>($E$21=0)</formula>
    </cfRule>
  </conditionalFormatting>
  <conditionalFormatting sqref="B22:T22 V22">
    <cfRule type="expression" dxfId="1901" priority="35" stopIfTrue="1">
      <formula>($E$22=0)</formula>
    </cfRule>
    <cfRule type="expression" dxfId="1900" priority="36" stopIfTrue="1">
      <formula>($D$22="Ersatzruhetag")</formula>
    </cfRule>
  </conditionalFormatting>
  <conditionalFormatting sqref="B23:T23 V23">
    <cfRule type="expression" dxfId="1899" priority="37" stopIfTrue="1">
      <formula>($E$23=0)</formula>
    </cfRule>
    <cfRule type="expression" dxfId="1898" priority="38" stopIfTrue="1">
      <formula>($D$23="Ersatzruhetag")</formula>
    </cfRule>
  </conditionalFormatting>
  <conditionalFormatting sqref="B24:T24 V24">
    <cfRule type="expression" dxfId="1897" priority="39" stopIfTrue="1">
      <formula>($E$24=0)</formula>
    </cfRule>
    <cfRule type="expression" dxfId="1896" priority="40" stopIfTrue="1">
      <formula>($D$24="Ersatzruhetag")</formula>
    </cfRule>
  </conditionalFormatting>
  <conditionalFormatting sqref="B25:T25 V25">
    <cfRule type="expression" dxfId="1895" priority="42" stopIfTrue="1">
      <formula>($D$25="Ersatzruhetag")</formula>
    </cfRule>
    <cfRule type="expression" dxfId="1894" priority="41" stopIfTrue="1">
      <formula>($E$25=0)</formula>
    </cfRule>
  </conditionalFormatting>
  <conditionalFormatting sqref="B26:T26 V26">
    <cfRule type="expression" dxfId="1893" priority="43" stopIfTrue="1">
      <formula>($E$26=0)</formula>
    </cfRule>
    <cfRule type="expression" dxfId="1892" priority="44" stopIfTrue="1">
      <formula>($D$26="Ersatzruhetag")</formula>
    </cfRule>
  </conditionalFormatting>
  <conditionalFormatting sqref="B27:T27 V27">
    <cfRule type="expression" dxfId="1891" priority="45" stopIfTrue="1">
      <formula>($E$27=0)</formula>
    </cfRule>
    <cfRule type="expression" dxfId="1890" priority="46" stopIfTrue="1">
      <formula>($D$27="Ersatzruhetag")</formula>
    </cfRule>
  </conditionalFormatting>
  <conditionalFormatting sqref="B28:T28 V28">
    <cfRule type="expression" dxfId="1889" priority="48" stopIfTrue="1">
      <formula>($D$28="Ersatzruhetag")</formula>
    </cfRule>
    <cfRule type="expression" dxfId="1888" priority="47" stopIfTrue="1">
      <formula>($E$28=0)</formula>
    </cfRule>
  </conditionalFormatting>
  <conditionalFormatting sqref="B29:T29 V29">
    <cfRule type="expression" dxfId="1887" priority="49" stopIfTrue="1">
      <formula>($E$29=0)</formula>
    </cfRule>
    <cfRule type="expression" dxfId="1886" priority="50" stopIfTrue="1">
      <formula>($D$29="Ersatzruhetag")</formula>
    </cfRule>
  </conditionalFormatting>
  <conditionalFormatting sqref="B30:T30 V30">
    <cfRule type="expression" dxfId="1885" priority="51" stopIfTrue="1">
      <formula>($E$30=0)</formula>
    </cfRule>
    <cfRule type="expression" dxfId="1884" priority="52" stopIfTrue="1">
      <formula>($D$30="Ersatzruhetag")</formula>
    </cfRule>
  </conditionalFormatting>
  <conditionalFormatting sqref="B31:T31 V31">
    <cfRule type="expression" dxfId="1883" priority="54" stopIfTrue="1">
      <formula>($D$31="Ersatzruhetag")</formula>
    </cfRule>
    <cfRule type="expression" dxfId="1882" priority="53" stopIfTrue="1">
      <formula>($E$31=0)</formula>
    </cfRule>
  </conditionalFormatting>
  <conditionalFormatting sqref="B32:T32 V32">
    <cfRule type="expression" dxfId="1881" priority="56" stopIfTrue="1">
      <formula>($D$32="Ersatzruhetag")</formula>
    </cfRule>
    <cfRule type="expression" dxfId="1880" priority="55" stopIfTrue="1">
      <formula>($E$32=0)</formula>
    </cfRule>
  </conditionalFormatting>
  <conditionalFormatting sqref="B33:T33 V33">
    <cfRule type="expression" dxfId="1879" priority="58" stopIfTrue="1">
      <formula>($D$33="Ersatzruhetag")</formula>
    </cfRule>
    <cfRule type="expression" dxfId="1878" priority="57" stopIfTrue="1">
      <formula>($E$33=0)</formula>
    </cfRule>
  </conditionalFormatting>
  <conditionalFormatting sqref="B34:T34 V34">
    <cfRule type="expression" dxfId="1877" priority="60" stopIfTrue="1">
      <formula>($D$34="Ersatzruhetag")</formula>
    </cfRule>
    <cfRule type="expression" dxfId="1876" priority="59" stopIfTrue="1">
      <formula>($E$34=0)</formula>
    </cfRule>
  </conditionalFormatting>
  <conditionalFormatting sqref="B35:T35 V35">
    <cfRule type="expression" dxfId="1875" priority="62" stopIfTrue="1">
      <formula>($D$35="Ersatzruhetag")</formula>
    </cfRule>
    <cfRule type="expression" dxfId="1874" priority="61" stopIfTrue="1">
      <formula>($E$35=0)</formula>
    </cfRule>
  </conditionalFormatting>
  <conditionalFormatting sqref="B36:T36 V36">
    <cfRule type="expression" dxfId="1873" priority="64" stopIfTrue="1">
      <formula>($D$36="Ersatzruhetag")</formula>
    </cfRule>
    <cfRule type="expression" dxfId="1872" priority="63" stopIfTrue="1">
      <formula>($E$36=0)</formula>
    </cfRule>
  </conditionalFormatting>
  <conditionalFormatting sqref="B37:T37 V37">
    <cfRule type="expression" dxfId="1871" priority="65" stopIfTrue="1">
      <formula>($E$37=0)</formula>
    </cfRule>
    <cfRule type="expression" dxfId="1870" priority="66" stopIfTrue="1">
      <formula>($D$37="Ersatzruhetag")</formula>
    </cfRule>
  </conditionalFormatting>
  <conditionalFormatting sqref="B38:T38 V38">
    <cfRule type="expression" dxfId="1869" priority="68" stopIfTrue="1">
      <formula>($D$38="Ersatzruhetag")</formula>
    </cfRule>
    <cfRule type="expression" dxfId="1868" priority="67" stopIfTrue="1">
      <formula>($E$38=0)</formula>
    </cfRule>
  </conditionalFormatting>
  <conditionalFormatting sqref="V39">
    <cfRule type="expression" dxfId="1867" priority="7" stopIfTrue="1">
      <formula>($E$39=0)</formula>
    </cfRule>
    <cfRule type="expression" dxfId="1866" priority="8" stopIfTrue="1">
      <formula>($D$39="Ersatzsonntag")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8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O36" sqref="O36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5.42578125" style="94" hidden="1" customWidth="1"/>
    <col min="5" max="5" width="4.28515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DATE(Datenblatt!F5,5,1)</f>
        <v>46143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"&amp;Datenblatt!$W$33&amp;";"&amp;"    Di: "&amp;Datenblatt!$W$34&amp;";"&amp;"    Mi: "&amp;Datenblatt!$W$35&amp;";"&amp;"    Do: "&amp;Datenblatt!$W$36&amp;";"&amp;"    Fr: "&amp;Datenblatt!$W$37&amp;";"&amp;"    Sa: "&amp;Datenblatt!$W$38&amp;";"&amp;"    So: "&amp;Datenblatt!$W$39&amp;""&amp;"     -    Wochenarbeitszeit:  "&amp;Datenblatt!$W$40&amp;"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April!T5+Datenblatt!W41</f>
        <v>190</v>
      </c>
      <c r="U4" s="405"/>
      <c r="V4" s="141"/>
      <c r="W4" s="142" t="str">
        <f>"Urlaubsanspruch per 01.05."&amp;Datenblatt!$F$5</f>
        <v>Urlaubsanspruch per 01.05.2026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"&amp;IF(Datenblatt!W42=1,Datenblatt!D34,IF(Datenblatt!W42=2,Datenblatt!D35,IF(Datenblatt!W42=3,Datenblatt!D36,IF(Datenblatt!W42=4,Datenblatt!D37))))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190</v>
      </c>
      <c r="U5" s="405"/>
      <c r="V5" s="141"/>
      <c r="W5" s="143" t="str">
        <f>"Resturlaub per 31.05."&amp;Datenblatt!$F$5</f>
        <v>Resturlaub per 31.05.2026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46143</v>
      </c>
      <c r="C9" s="157">
        <f t="shared" ref="C9:C39" si="0">B9</f>
        <v>46143</v>
      </c>
      <c r="D9" s="350">
        <f>IF(VLOOKUP($B9,Datenblatt!$A$43:$A$65,1,1)=$B9,0,VLOOKUP(WEEKDAY($B9),Datenblatt!$U$33:$W$39,3,FALSE))</f>
        <v>0</v>
      </c>
      <c r="E9" s="350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>Staatsfeiertag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9" si="4">B9+1</f>
        <v>46144</v>
      </c>
      <c r="C10" s="157">
        <f t="shared" si="0"/>
        <v>46144</v>
      </c>
      <c r="D10" s="351">
        <f>IF(VLOOKUP($B10,Datenblatt!$A$43:$A$65,1,1)=$B10,0,VLOOKUP(WEEKDAY($B10),Datenblatt!$U$33:$W$39,3,FALSE))</f>
        <v>0</v>
      </c>
      <c r="E10" s="351">
        <f>IF(VLOOKUP($B10,Datenblatt!$A$43:$A$65,1,1)=$B10,0,IF(WEEKDAY($B10)=7,1,IF(WEEKDAY($B10)=1,0,2)))</f>
        <v>1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46145</v>
      </c>
      <c r="C11" s="157">
        <f t="shared" si="0"/>
        <v>46145</v>
      </c>
      <c r="D11" s="352">
        <f>IF(VLOOKUP($B11,Datenblatt!$A$43:$A$65,1,1)=$B11,0,VLOOKUP(WEEKDAY($B11),Datenblatt!$U$33:$W$39,3,FALSE))</f>
        <v>0</v>
      </c>
      <c r="E11" s="352">
        <f>IF(VLOOKUP($B11,Datenblatt!$A$43:$A$65,1,1)=$B11,0,IF(WEEKDAY($B11)=7,1,IF(WEEKDAY($B11)=1,0,2)))</f>
        <v>0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46146</v>
      </c>
      <c r="C12" s="157">
        <f t="shared" si="0"/>
        <v>46146</v>
      </c>
      <c r="D12" s="352">
        <f>IF(VLOOKUP($B12,Datenblatt!$A$43:$A$65,1,1)=$B12,0,VLOOKUP(WEEKDAY($B12),Datenblatt!$U$33:$W$39,3,FALSE))</f>
        <v>8</v>
      </c>
      <c r="E12" s="352">
        <f>IF(VLOOKUP($B12,Datenblatt!$A$43:$A$65,1,1)=$B12,0,IF(WEEKDAY($B12)=7,1,IF(WEEKDAY($B12)=1,0,2)))</f>
        <v>2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46147</v>
      </c>
      <c r="C13" s="157">
        <f t="shared" si="0"/>
        <v>46147</v>
      </c>
      <c r="D13" s="352">
        <f>IF(VLOOKUP($B13,Datenblatt!$A$43:$A$65,1,1)=$B13,0,VLOOKUP(WEEKDAY($B13),Datenblatt!$U$33:$W$39,3,FALSE))</f>
        <v>8</v>
      </c>
      <c r="E13" s="352">
        <f>IF(VLOOKUP($B13,Datenblatt!$A$43:$A$65,1,1)=$B13,0,IF(WEEKDAY($B13)=7,1,IF(WEEKDAY($B13)=1,0,2)))</f>
        <v>2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46148</v>
      </c>
      <c r="C14" s="157">
        <f t="shared" si="0"/>
        <v>46148</v>
      </c>
      <c r="D14" s="352">
        <f>IF(VLOOKUP($B14,Datenblatt!$A$43:$A$65,1,1)=$B14,0,VLOOKUP(WEEKDAY($B14),Datenblatt!$U$33:$W$39,3,FALSE))</f>
        <v>8</v>
      </c>
      <c r="E14" s="352">
        <f>IF(VLOOKUP($B14,Datenblatt!$A$43:$A$65,1,1)=$B14,0,IF(WEEKDAY($B14)=7,1,IF(WEEKDAY($B14)=1,0,2)))</f>
        <v>2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46149</v>
      </c>
      <c r="C15" s="157">
        <f t="shared" si="0"/>
        <v>46149</v>
      </c>
      <c r="D15" s="352">
        <f>IF(VLOOKUP($B15,Datenblatt!$A$43:$A$65,1,1)=$B15,0,VLOOKUP(WEEKDAY($B15),Datenblatt!$U$33:$W$39,3,FALSE))</f>
        <v>8</v>
      </c>
      <c r="E15" s="352">
        <f>IF(VLOOKUP($B15,Datenblatt!$A$43:$A$65,1,1)=$B15,0,IF(WEEKDAY($B15)=7,1,IF(WEEKDAY($B15)=1,0,2)))</f>
        <v>2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46150</v>
      </c>
      <c r="C16" s="157">
        <f t="shared" si="0"/>
        <v>46150</v>
      </c>
      <c r="D16" s="352">
        <f>IF(VLOOKUP($B16,Datenblatt!$A$43:$A$65,1,1)=$B16,0,VLOOKUP(WEEKDAY($B16),Datenblatt!$U$33:$W$39,3,FALSE))</f>
        <v>6</v>
      </c>
      <c r="E16" s="352">
        <f>IF(VLOOKUP($B16,Datenblatt!$A$43:$A$65,1,1)=$B16,0,IF(WEEKDAY($B16)=7,1,IF(WEEKDAY($B16)=1,0,2)))</f>
        <v>2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46151</v>
      </c>
      <c r="C17" s="157">
        <f t="shared" si="0"/>
        <v>46151</v>
      </c>
      <c r="D17" s="352">
        <f>IF(VLOOKUP($B17,Datenblatt!$A$43:$A$65,1,1)=$B17,0,VLOOKUP(WEEKDAY($B17),Datenblatt!$U$33:$W$39,3,FALSE))</f>
        <v>0</v>
      </c>
      <c r="E17" s="352">
        <f>IF(VLOOKUP($B17,Datenblatt!$A$43:$A$65,1,1)=$B17,0,IF(WEEKDAY($B17)=7,1,IF(WEEKDAY($B17)=1,0,2)))</f>
        <v>1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46152</v>
      </c>
      <c r="C18" s="157">
        <f t="shared" si="0"/>
        <v>46152</v>
      </c>
      <c r="D18" s="352">
        <f>IF(VLOOKUP($B18,Datenblatt!$A$43:$A$65,1,1)=$B18,0,VLOOKUP(WEEKDAY($B18),Datenblatt!$U$33:$W$39,3,FALSE))</f>
        <v>0</v>
      </c>
      <c r="E18" s="352">
        <f>IF(VLOOKUP($B18,Datenblatt!$A$43:$A$65,1,1)=$B18,0,IF(WEEKDAY($B18)=7,1,IF(WEEKDAY($B18)=1,0,2)))</f>
        <v>0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46153</v>
      </c>
      <c r="C19" s="157">
        <f t="shared" si="0"/>
        <v>46153</v>
      </c>
      <c r="D19" s="352">
        <f>IF(VLOOKUP($B19,Datenblatt!$A$43:$A$65,1,1)=$B19,0,VLOOKUP(WEEKDAY($B19),Datenblatt!$U$33:$W$39,3,FALSE))</f>
        <v>8</v>
      </c>
      <c r="E19" s="352">
        <f>IF(VLOOKUP($B19,Datenblatt!$A$43:$A$65,1,1)=$B19,0,IF(WEEKDAY($B19)=7,1,IF(WEEKDAY($B19)=1,0,2)))</f>
        <v>2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46154</v>
      </c>
      <c r="C20" s="157">
        <f t="shared" si="0"/>
        <v>46154</v>
      </c>
      <c r="D20" s="352">
        <f>IF(VLOOKUP($B20,Datenblatt!$A$43:$A$65,1,1)=$B20,0,VLOOKUP(WEEKDAY($B20),Datenblatt!$U$33:$W$39,3,FALSE))</f>
        <v>8</v>
      </c>
      <c r="E20" s="352">
        <f>IF(VLOOKUP($B20,Datenblatt!$A$43:$A$65,1,1)=$B20,0,IF(WEEKDAY($B20)=7,1,IF(WEEKDAY($B20)=1,0,2)))</f>
        <v>2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46155</v>
      </c>
      <c r="C21" s="157">
        <f t="shared" si="0"/>
        <v>46155</v>
      </c>
      <c r="D21" s="352">
        <f>IF(VLOOKUP($B21,Datenblatt!$A$43:$A$65,1,1)=$B21,0,VLOOKUP(WEEKDAY($B21),Datenblatt!$U$33:$W$39,3,FALSE))</f>
        <v>8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46156</v>
      </c>
      <c r="C22" s="157">
        <f t="shared" si="0"/>
        <v>46156</v>
      </c>
      <c r="D22" s="352">
        <f>IF(VLOOKUP($B22,Datenblatt!$A$43:$A$65,1,1)=$B22,0,VLOOKUP(WEEKDAY($B22),Datenblatt!$U$33:$W$39,3,FALSE))</f>
        <v>0</v>
      </c>
      <c r="E22" s="352">
        <f>IF(VLOOKUP($B22,Datenblatt!$A$43:$A$65,1,1)=$B22,0,IF(WEEKDAY($B22)=7,1,IF(WEEKDAY($B22)=1,0,2)))</f>
        <v>0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>Christi Himmelfahrt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46157</v>
      </c>
      <c r="C23" s="157">
        <f t="shared" si="0"/>
        <v>46157</v>
      </c>
      <c r="D23" s="352">
        <f>IF(VLOOKUP($B23,Datenblatt!$A$43:$A$65,1,1)=$B23,0,VLOOKUP(WEEKDAY($B23),Datenblatt!$U$33:$W$39,3,FALSE))</f>
        <v>6</v>
      </c>
      <c r="E23" s="352">
        <f>IF(VLOOKUP($B23,Datenblatt!$A$43:$A$65,1,1)=$B23,0,IF(WEEKDAY($B23)=7,1,IF(WEEKDAY($B23)=1,0,2)))</f>
        <v>2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46158</v>
      </c>
      <c r="C24" s="157">
        <f t="shared" si="0"/>
        <v>46158</v>
      </c>
      <c r="D24" s="352">
        <f>IF(VLOOKUP($B24,Datenblatt!$A$43:$A$65,1,1)=$B24,0,VLOOKUP(WEEKDAY($B24),Datenblatt!$U$33:$W$39,3,FALSE))</f>
        <v>0</v>
      </c>
      <c r="E24" s="352">
        <f>IF(VLOOKUP($B24,Datenblatt!$A$43:$A$65,1,1)=$B24,0,IF(WEEKDAY($B24)=7,1,IF(WEEKDAY($B24)=1,0,2)))</f>
        <v>1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46159</v>
      </c>
      <c r="C25" s="157">
        <f t="shared" si="0"/>
        <v>46159</v>
      </c>
      <c r="D25" s="352">
        <f>IF(VLOOKUP($B25,Datenblatt!$A$43:$A$65,1,1)=$B25,0,VLOOKUP(WEEKDAY($B25),Datenblatt!$U$33:$W$39,3,FALSE))</f>
        <v>0</v>
      </c>
      <c r="E25" s="352">
        <f>IF(VLOOKUP($B25,Datenblatt!$A$43:$A$65,1,1)=$B25,0,IF(WEEKDAY($B25)=7,1,IF(WEEKDAY($B25)=1,0,2)))</f>
        <v>0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46160</v>
      </c>
      <c r="C26" s="157">
        <f t="shared" si="0"/>
        <v>46160</v>
      </c>
      <c r="D26" s="352">
        <f>IF(VLOOKUP($B26,Datenblatt!$A$43:$A$65,1,1)=$B26,0,VLOOKUP(WEEKDAY($B26),Datenblatt!$U$33:$W$39,3,FALSE))</f>
        <v>8</v>
      </c>
      <c r="E26" s="352">
        <f>IF(VLOOKUP($B26,Datenblatt!$A$43:$A$65,1,1)=$B26,0,IF(WEEKDAY($B26)=7,1,IF(WEEKDAY($B26)=1,0,2)))</f>
        <v>2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46161</v>
      </c>
      <c r="C27" s="157">
        <f t="shared" si="0"/>
        <v>46161</v>
      </c>
      <c r="D27" s="352">
        <f>IF(VLOOKUP($B27,Datenblatt!$A$43:$A$65,1,1)=$B27,0,VLOOKUP(WEEKDAY($B27),Datenblatt!$U$33:$W$39,3,FALSE))</f>
        <v>8</v>
      </c>
      <c r="E27" s="352">
        <f>IF(VLOOKUP($B27,Datenblatt!$A$43:$A$65,1,1)=$B27,0,IF(WEEKDAY($B27)=7,1,IF(WEEKDAY($B27)=1,0,2)))</f>
        <v>2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46162</v>
      </c>
      <c r="C28" s="157">
        <f t="shared" si="0"/>
        <v>46162</v>
      </c>
      <c r="D28" s="352">
        <f>IF(VLOOKUP($B28,Datenblatt!$A$43:$A$65,1,1)=$B28,0,VLOOKUP(WEEKDAY($B28),Datenblatt!$U$33:$W$39,3,FALSE))</f>
        <v>8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46163</v>
      </c>
      <c r="C29" s="157">
        <f t="shared" si="0"/>
        <v>46163</v>
      </c>
      <c r="D29" s="352">
        <f>IF(VLOOKUP($B29,Datenblatt!$A$43:$A$65,1,1)=$B29,0,VLOOKUP(WEEKDAY($B29),Datenblatt!$U$33:$W$39,3,FALSE))</f>
        <v>8</v>
      </c>
      <c r="E29" s="352">
        <f>IF(VLOOKUP($B29,Datenblatt!$A$43:$A$65,1,1)=$B29,0,IF(WEEKDAY($B29)=7,1,IF(WEEKDAY($B29)=1,0,2)))</f>
        <v>2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46164</v>
      </c>
      <c r="C30" s="157">
        <f t="shared" si="0"/>
        <v>46164</v>
      </c>
      <c r="D30" s="352">
        <f>IF(VLOOKUP($B30,Datenblatt!$A$43:$A$65,1,1)=$B30,0,VLOOKUP(WEEKDAY($B30),Datenblatt!$U$33:$W$39,3,FALSE))</f>
        <v>6</v>
      </c>
      <c r="E30" s="352">
        <f>IF(VLOOKUP($B30,Datenblatt!$A$43:$A$65,1,1)=$B30,0,IF(WEEKDAY($B30)=7,1,IF(WEEKDAY($B30)=1,0,2)))</f>
        <v>2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46165</v>
      </c>
      <c r="C31" s="157">
        <f t="shared" si="0"/>
        <v>46165</v>
      </c>
      <c r="D31" s="352">
        <f>IF(VLOOKUP($B31,Datenblatt!$A$43:$A$65,1,1)=$B31,0,VLOOKUP(WEEKDAY($B31),Datenblatt!$U$33:$W$39,3,FALSE))</f>
        <v>0</v>
      </c>
      <c r="E31" s="352">
        <f>IF(VLOOKUP($B31,Datenblatt!$A$43:$A$65,1,1)=$B31,0,IF(WEEKDAY($B31)=7,1,IF(WEEKDAY($B31)=1,0,2)))</f>
        <v>1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46166</v>
      </c>
      <c r="C32" s="157">
        <f t="shared" si="0"/>
        <v>46166</v>
      </c>
      <c r="D32" s="352">
        <f>IF(VLOOKUP($B32,Datenblatt!$A$43:$A$65,1,1)=$B32,0,VLOOKUP(WEEKDAY($B32),Datenblatt!$U$33:$W$39,3,FALSE))</f>
        <v>0</v>
      </c>
      <c r="E32" s="352">
        <f>IF(VLOOKUP($B32,Datenblatt!$A$43:$A$65,1,1)=$B32,0,IF(WEEKDAY($B32)=7,1,IF(WEEKDAY($B32)=1,0,2)))</f>
        <v>0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>Pfingstsonntag</v>
      </c>
      <c r="W32" s="413"/>
      <c r="X32" s="414"/>
      <c r="AA32" s="173"/>
    </row>
    <row r="33" spans="2:128" ht="12.2" customHeight="1">
      <c r="B33" s="156">
        <f t="shared" si="4"/>
        <v>46167</v>
      </c>
      <c r="C33" s="157">
        <f t="shared" si="0"/>
        <v>46167</v>
      </c>
      <c r="D33" s="352">
        <f>IF(VLOOKUP($B33,Datenblatt!$A$43:$A$65,1,1)=$B33,0,VLOOKUP(WEEKDAY($B33),Datenblatt!$U$33:$W$39,3,FALSE))</f>
        <v>0</v>
      </c>
      <c r="E33" s="352">
        <f>IF(VLOOKUP($B33,Datenblatt!$A$43:$A$65,1,1)=$B33,0,IF(WEEKDAY($B33)=7,1,IF(WEEKDAY($B33)=1,0,2)))</f>
        <v>0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>Pfingstmontag</v>
      </c>
      <c r="W33" s="413"/>
      <c r="X33" s="414"/>
      <c r="AA33" s="173"/>
    </row>
    <row r="34" spans="2:128" ht="12.2" customHeight="1">
      <c r="B34" s="156">
        <f t="shared" si="4"/>
        <v>46168</v>
      </c>
      <c r="C34" s="157">
        <f t="shared" si="0"/>
        <v>46168</v>
      </c>
      <c r="D34" s="352">
        <f>IF(VLOOKUP($B34,Datenblatt!$A$43:$A$65,1,1)=$B34,0,VLOOKUP(WEEKDAY($B34),Datenblatt!$U$33:$W$39,3,FALSE))</f>
        <v>8</v>
      </c>
      <c r="E34" s="352">
        <f>IF(VLOOKUP($B34,Datenblatt!$A$43:$A$65,1,1)=$B34,0,IF(WEEKDAY($B34)=7,1,IF(WEEKDAY($B34)=1,0,2)))</f>
        <v>2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46169</v>
      </c>
      <c r="C35" s="157">
        <f t="shared" si="0"/>
        <v>46169</v>
      </c>
      <c r="D35" s="352">
        <f>IF(VLOOKUP($B35,Datenblatt!$A$43:$A$65,1,1)=$B35,0,VLOOKUP(WEEKDAY($B35),Datenblatt!$U$33:$W$39,3,FALSE))</f>
        <v>8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46170</v>
      </c>
      <c r="C36" s="157">
        <f t="shared" si="0"/>
        <v>46170</v>
      </c>
      <c r="D36" s="352">
        <f>IF(VLOOKUP($B36,Datenblatt!$A$43:$A$65,1,1)=$B36,0,VLOOKUP(WEEKDAY($B36),Datenblatt!$U$33:$W$39,3,FALSE))</f>
        <v>8</v>
      </c>
      <c r="E36" s="352">
        <f>IF(VLOOKUP($B36,Datenblatt!$A$43:$A$65,1,1)=$B36,0,IF(WEEKDAY($B36)=7,1,IF(WEEKDAY($B36)=1,0,2)))</f>
        <v>2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46171</v>
      </c>
      <c r="C37" s="157">
        <f t="shared" si="0"/>
        <v>46171</v>
      </c>
      <c r="D37" s="352">
        <f>IF(VLOOKUP($B37,Datenblatt!$A$43:$A$65,1,1)=$B37,0,VLOOKUP(WEEKDAY($B37),Datenblatt!$U$33:$W$39,3,FALSE))</f>
        <v>6</v>
      </c>
      <c r="E37" s="352">
        <f>IF(VLOOKUP($B37,Datenblatt!$A$43:$A$65,1,1)=$B37,0,IF(WEEKDAY($B37)=7,1,IF(WEEKDAY($B37)=1,0,2)))</f>
        <v>2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46172</v>
      </c>
      <c r="C38" s="157">
        <f t="shared" si="0"/>
        <v>46172</v>
      </c>
      <c r="D38" s="352">
        <f>IF(VLOOKUP($B38,Datenblatt!$A$43:$A$65,1,1)=$B38,0,VLOOKUP(WEEKDAY($B38),Datenblatt!$U$33:$W$39,3,FALSE))</f>
        <v>0</v>
      </c>
      <c r="E38" s="352">
        <f>IF(VLOOKUP($B38,Datenblatt!$A$43:$A$65,1,1)=$B38,0,IF(WEEKDAY($B38)=7,1,IF(WEEKDAY($B38)=1,0,2)))</f>
        <v>1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>
        <f t="shared" si="4"/>
        <v>46173</v>
      </c>
      <c r="C39" s="157">
        <f t="shared" si="0"/>
        <v>46173</v>
      </c>
      <c r="D39" s="352">
        <f>IF(VLOOKUP($B39,Datenblatt!$A$43:$A$65,1,1)=$B39,0,VLOOKUP(WEEKDAY($B39),Datenblatt!$U$33:$W$39,3,FALSE))</f>
        <v>0</v>
      </c>
      <c r="E39" s="352">
        <f>IF(VLOOKUP($B39,Datenblatt!$A$43:$A$65,1,1)=$B39,0,IF(WEEKDAY($B39)=7,1,IF(WEEKDAY($B39)=1,0,2)))</f>
        <v>0</v>
      </c>
      <c r="F39" s="353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1"/>
        <v/>
      </c>
      <c r="S39" s="168" t="str">
        <f t="shared" si="2"/>
        <v/>
      </c>
      <c r="T39" s="169" t="str">
        <f t="shared" si="3"/>
        <v/>
      </c>
      <c r="U39" s="170"/>
      <c r="V39" s="415" t="str">
        <f>IF(VLOOKUP($B39,Datenblatt!$A$43:$A$66,1,1)=$B39,VLOOKUP($B39,Datenblatt!$A$43:$C$66,3,FALSE)," ")</f>
        <v xml:space="preserve"> </v>
      </c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18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Mai "&amp;Datenblatt!$F$5&amp;":"</f>
        <v>Sollstunden für Mai 2026:</v>
      </c>
      <c r="N41" s="66"/>
      <c r="O41" s="66"/>
      <c r="P41" s="186"/>
      <c r="R41" s="187"/>
      <c r="S41" s="403">
        <f>SUM(D9:D39)</f>
        <v>136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Mai "&amp;Datenblatt!F5&amp;":   ","Zeitdefizit im Monat Mai "&amp;Datenblatt!F5&amp;":   ")</f>
        <v xml:space="preserve">Zeitdefizit im Monat Mai 2026:   </v>
      </c>
      <c r="N42" s="189"/>
      <c r="O42" s="189"/>
      <c r="R42" s="190"/>
      <c r="S42" s="397">
        <f>T40-SUM(D9:D39)</f>
        <v>-136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April "&amp;Datenblatt!F5&amp;":   ","  - Zeitdefizit aus April "&amp;Datenblatt!F5&amp;":   ")</f>
        <v xml:space="preserve">  - Zeitdefizit aus April 2026:   </v>
      </c>
      <c r="S43" s="398">
        <f>April!S44</f>
        <v>-624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Juni "&amp;Datenblatt!F5</f>
        <v>Übertrag für Juni 2026</v>
      </c>
      <c r="R44" s="195"/>
      <c r="S44" s="399">
        <f>S43+S42-I42</f>
        <v>-760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865" priority="1" stopIfTrue="1" operator="equal">
      <formula>MATCH($E15,0)</formula>
    </cfRule>
    <cfRule type="expression" dxfId="1864" priority="2" stopIfTrue="1">
      <formula>"WOCHENTAG($B8)=1"</formula>
    </cfRule>
    <cfRule type="expression" dxfId="1863" priority="3" stopIfTrue="1">
      <formula>"WOCHENTAG($B8)=7"</formula>
    </cfRule>
  </conditionalFormatting>
  <conditionalFormatting sqref="B9:C9">
    <cfRule type="expression" dxfId="1862" priority="68" stopIfTrue="1">
      <formula>($E$9=1)</formula>
    </cfRule>
  </conditionalFormatting>
  <conditionalFormatting sqref="B10:C10">
    <cfRule type="expression" dxfId="1861" priority="71" stopIfTrue="1">
      <formula>($E$10=1)</formula>
    </cfRule>
  </conditionalFormatting>
  <conditionalFormatting sqref="B11:C11">
    <cfRule type="expression" dxfId="1860" priority="74" stopIfTrue="1">
      <formula>($E$11=1)</formula>
    </cfRule>
  </conditionalFormatting>
  <conditionalFormatting sqref="B12:C12">
    <cfRule type="expression" dxfId="1859" priority="77" stopIfTrue="1">
      <formula>($E$12=1)</formula>
    </cfRule>
  </conditionalFormatting>
  <conditionalFormatting sqref="B13:C13">
    <cfRule type="expression" dxfId="1858" priority="80" stopIfTrue="1">
      <formula>($E$13=1)</formula>
    </cfRule>
  </conditionalFormatting>
  <conditionalFormatting sqref="B14:C14">
    <cfRule type="expression" dxfId="1857" priority="83" stopIfTrue="1">
      <formula>($E$14=1)</formula>
    </cfRule>
  </conditionalFormatting>
  <conditionalFormatting sqref="B15:C15">
    <cfRule type="expression" dxfId="1856" priority="86" stopIfTrue="1">
      <formula>($E$15=1)</formula>
    </cfRule>
  </conditionalFormatting>
  <conditionalFormatting sqref="B16:C16">
    <cfRule type="expression" dxfId="1855" priority="89" stopIfTrue="1">
      <formula>($E$16=1)</formula>
    </cfRule>
  </conditionalFormatting>
  <conditionalFormatting sqref="B17:C17">
    <cfRule type="expression" dxfId="1854" priority="92" stopIfTrue="1">
      <formula>($E$17=1)</formula>
    </cfRule>
  </conditionalFormatting>
  <conditionalFormatting sqref="B18:C18">
    <cfRule type="expression" dxfId="1853" priority="95" stopIfTrue="1">
      <formula>($E$18=1)</formula>
    </cfRule>
  </conditionalFormatting>
  <conditionalFormatting sqref="B19:C19">
    <cfRule type="expression" dxfId="1852" priority="98" stopIfTrue="1">
      <formula>($E$19=1)</formula>
    </cfRule>
  </conditionalFormatting>
  <conditionalFormatting sqref="B20:C20">
    <cfRule type="expression" dxfId="1851" priority="101" stopIfTrue="1">
      <formula>($E$20=1)</formula>
    </cfRule>
  </conditionalFormatting>
  <conditionalFormatting sqref="B21:C21">
    <cfRule type="expression" dxfId="1850" priority="104" stopIfTrue="1">
      <formula>($E$21=1)</formula>
    </cfRule>
  </conditionalFormatting>
  <conditionalFormatting sqref="B22:C22">
    <cfRule type="expression" dxfId="1849" priority="107" stopIfTrue="1">
      <formula>($E$22=1)</formula>
    </cfRule>
  </conditionalFormatting>
  <conditionalFormatting sqref="B23:C23">
    <cfRule type="expression" dxfId="1848" priority="110" stopIfTrue="1">
      <formula>($E$23=1)</formula>
    </cfRule>
  </conditionalFormatting>
  <conditionalFormatting sqref="B24:C24">
    <cfRule type="expression" dxfId="1847" priority="113" stopIfTrue="1">
      <formula>($E$24=1)</formula>
    </cfRule>
  </conditionalFormatting>
  <conditionalFormatting sqref="B25:C25">
    <cfRule type="expression" dxfId="1846" priority="116" stopIfTrue="1">
      <formula>($E$25=1)</formula>
    </cfRule>
  </conditionalFormatting>
  <conditionalFormatting sqref="B26:C26">
    <cfRule type="expression" dxfId="1845" priority="119" stopIfTrue="1">
      <formula>($E$26=1)</formula>
    </cfRule>
  </conditionalFormatting>
  <conditionalFormatting sqref="B27:C27">
    <cfRule type="expression" dxfId="1844" priority="122" stopIfTrue="1">
      <formula>($E$27=1)</formula>
    </cfRule>
  </conditionalFormatting>
  <conditionalFormatting sqref="B28:C28">
    <cfRule type="expression" dxfId="1843" priority="125" stopIfTrue="1">
      <formula>($E$28=1)</formula>
    </cfRule>
  </conditionalFormatting>
  <conditionalFormatting sqref="B29:C29">
    <cfRule type="expression" dxfId="1842" priority="128" stopIfTrue="1">
      <formula>($E$29=1)</formula>
    </cfRule>
  </conditionalFormatting>
  <conditionalFormatting sqref="B30:C30">
    <cfRule type="expression" dxfId="1841" priority="131" stopIfTrue="1">
      <formula>($E$30=1)</formula>
    </cfRule>
  </conditionalFormatting>
  <conditionalFormatting sqref="B31:C31">
    <cfRule type="expression" dxfId="1840" priority="134" stopIfTrue="1">
      <formula>($E$31=1)</formula>
    </cfRule>
  </conditionalFormatting>
  <conditionalFormatting sqref="B32:C32">
    <cfRule type="expression" dxfId="1839" priority="137" stopIfTrue="1">
      <formula>($E$32=1)</formula>
    </cfRule>
  </conditionalFormatting>
  <conditionalFormatting sqref="B33:C33">
    <cfRule type="expression" dxfId="1838" priority="140" stopIfTrue="1">
      <formula>($E$33=1)</formula>
    </cfRule>
  </conditionalFormatting>
  <conditionalFormatting sqref="B34:C34">
    <cfRule type="expression" dxfId="1837" priority="143" stopIfTrue="1">
      <formula>($E$34=1)</formula>
    </cfRule>
  </conditionalFormatting>
  <conditionalFormatting sqref="B35:C35">
    <cfRule type="expression" dxfId="1836" priority="146" stopIfTrue="1">
      <formula>($E$35=1)</formula>
    </cfRule>
  </conditionalFormatting>
  <conditionalFormatting sqref="B36:C36">
    <cfRule type="expression" dxfId="1835" priority="149" stopIfTrue="1">
      <formula>($E$36=1)</formula>
    </cfRule>
  </conditionalFormatting>
  <conditionalFormatting sqref="B37:C37">
    <cfRule type="expression" dxfId="1834" priority="152" stopIfTrue="1">
      <formula>($E$37=1)</formula>
    </cfRule>
  </conditionalFormatting>
  <conditionalFormatting sqref="B38:C38">
    <cfRule type="expression" dxfId="1833" priority="155" stopIfTrue="1">
      <formula>($E$38=1)</formula>
    </cfRule>
  </conditionalFormatting>
  <conditionalFormatting sqref="B39:C39">
    <cfRule type="expression" dxfId="1832" priority="158" stopIfTrue="1">
      <formula>($E$39=1)</formula>
    </cfRule>
  </conditionalFormatting>
  <conditionalFormatting sqref="B9:T9 V9">
    <cfRule type="expression" dxfId="1831" priority="5" stopIfTrue="1">
      <formula>($D$9="Ersatzruhetag")</formula>
    </cfRule>
    <cfRule type="expression" dxfId="1830" priority="4" stopIfTrue="1">
      <formula>($E$9=0)</formula>
    </cfRule>
  </conditionalFormatting>
  <conditionalFormatting sqref="B10:T10 V10">
    <cfRule type="expression" dxfId="1829" priority="7" stopIfTrue="1">
      <formula>($D$10="Ersatzruhetag")</formula>
    </cfRule>
    <cfRule type="expression" dxfId="1828" priority="6" stopIfTrue="1">
      <formula>($E$10=0)</formula>
    </cfRule>
  </conditionalFormatting>
  <conditionalFormatting sqref="B11:T11 V11">
    <cfRule type="expression" dxfId="1827" priority="9" stopIfTrue="1">
      <formula>($D$11="Ersatzruhetag")</formula>
    </cfRule>
    <cfRule type="expression" dxfId="1826" priority="8" stopIfTrue="1">
      <formula>($E$11=0)</formula>
    </cfRule>
  </conditionalFormatting>
  <conditionalFormatting sqref="B12:T12 V12">
    <cfRule type="expression" dxfId="1825" priority="11" stopIfTrue="1">
      <formula>($D$12="Ersatzruhetag")</formula>
    </cfRule>
    <cfRule type="expression" dxfId="1824" priority="10" stopIfTrue="1">
      <formula>($E$12=0)</formula>
    </cfRule>
  </conditionalFormatting>
  <conditionalFormatting sqref="B13:T13 V13">
    <cfRule type="expression" dxfId="1823" priority="12" stopIfTrue="1">
      <formula>($E$13=0)</formula>
    </cfRule>
    <cfRule type="expression" dxfId="1822" priority="13" stopIfTrue="1">
      <formula>($D$13="Ersatzruhetag")</formula>
    </cfRule>
  </conditionalFormatting>
  <conditionalFormatting sqref="B14:T14 V14">
    <cfRule type="expression" dxfId="1821" priority="14" stopIfTrue="1">
      <formula>($E$14=0)</formula>
    </cfRule>
    <cfRule type="expression" dxfId="1820" priority="15" stopIfTrue="1">
      <formula>($D$14="Ersatzruhetag")</formula>
    </cfRule>
  </conditionalFormatting>
  <conditionalFormatting sqref="B15:T15 V15">
    <cfRule type="expression" dxfId="1819" priority="16" stopIfTrue="1">
      <formula>($E$15=0)</formula>
    </cfRule>
    <cfRule type="expression" dxfId="1818" priority="17" stopIfTrue="1">
      <formula>($D$15="Ersatzruhetag")</formula>
    </cfRule>
  </conditionalFormatting>
  <conditionalFormatting sqref="B16:T16 V16">
    <cfRule type="expression" dxfId="1817" priority="18" stopIfTrue="1">
      <formula>($E$16=0)</formula>
    </cfRule>
    <cfRule type="expression" dxfId="1816" priority="19" stopIfTrue="1">
      <formula>($D$16="Ersatzruhetag")</formula>
    </cfRule>
  </conditionalFormatting>
  <conditionalFormatting sqref="B17:T17 V17">
    <cfRule type="expression" dxfId="1815" priority="21" stopIfTrue="1">
      <formula>($D$17="Ersatzruhetag")</formula>
    </cfRule>
    <cfRule type="expression" dxfId="1814" priority="20" stopIfTrue="1">
      <formula>($E$17=0)</formula>
    </cfRule>
  </conditionalFormatting>
  <conditionalFormatting sqref="B18:T18 V18">
    <cfRule type="expression" dxfId="1813" priority="22" stopIfTrue="1">
      <formula>($E$18=0)</formula>
    </cfRule>
    <cfRule type="expression" dxfId="1812" priority="23" stopIfTrue="1">
      <formula>($D$18="Ersatzruhetag")</formula>
    </cfRule>
  </conditionalFormatting>
  <conditionalFormatting sqref="B19:T19 V19">
    <cfRule type="expression" dxfId="1811" priority="25" stopIfTrue="1">
      <formula>($D$19="Ersatzruhetag")</formula>
    </cfRule>
    <cfRule type="expression" dxfId="1810" priority="24" stopIfTrue="1">
      <formula>($E$19=0)</formula>
    </cfRule>
  </conditionalFormatting>
  <conditionalFormatting sqref="B20:T20 V20">
    <cfRule type="expression" dxfId="1809" priority="26" stopIfTrue="1">
      <formula>($E$20=0)</formula>
    </cfRule>
    <cfRule type="expression" dxfId="1808" priority="27" stopIfTrue="1">
      <formula>($D$20="Ersatzruhetag")</formula>
    </cfRule>
  </conditionalFormatting>
  <conditionalFormatting sqref="B21:T21 V21">
    <cfRule type="expression" dxfId="1807" priority="28" stopIfTrue="1">
      <formula>($E$21=0)</formula>
    </cfRule>
    <cfRule type="expression" dxfId="1806" priority="29" stopIfTrue="1">
      <formula>($D$21="Ersatzruhetag")</formula>
    </cfRule>
  </conditionalFormatting>
  <conditionalFormatting sqref="B22:T22 V22">
    <cfRule type="expression" dxfId="1805" priority="30" stopIfTrue="1">
      <formula>($E$22=0)</formula>
    </cfRule>
    <cfRule type="expression" dxfId="1804" priority="31" stopIfTrue="1">
      <formula>($D$22="Ersatzruhetag")</formula>
    </cfRule>
  </conditionalFormatting>
  <conditionalFormatting sqref="B23:T23 V23">
    <cfRule type="expression" dxfId="1803" priority="32" stopIfTrue="1">
      <formula>($E$23=0)</formula>
    </cfRule>
    <cfRule type="expression" dxfId="1802" priority="33" stopIfTrue="1">
      <formula>($D$23="Ersatzruhetag")</formula>
    </cfRule>
  </conditionalFormatting>
  <conditionalFormatting sqref="B24:T24 V24">
    <cfRule type="expression" dxfId="1801" priority="34" stopIfTrue="1">
      <formula>($E$24=0)</formula>
    </cfRule>
    <cfRule type="expression" dxfId="1800" priority="35" stopIfTrue="1">
      <formula>($D$24="Ersatzruhetag")</formula>
    </cfRule>
  </conditionalFormatting>
  <conditionalFormatting sqref="B25:T25 V25">
    <cfRule type="expression" dxfId="1799" priority="37" stopIfTrue="1">
      <formula>($D$25="Ersatzruhetag")</formula>
    </cfRule>
    <cfRule type="expression" dxfId="1798" priority="36" stopIfTrue="1">
      <formula>($E$25=0)</formula>
    </cfRule>
  </conditionalFormatting>
  <conditionalFormatting sqref="B26:T26 V26">
    <cfRule type="expression" dxfId="1797" priority="38" stopIfTrue="1">
      <formula>($E$26=0)</formula>
    </cfRule>
    <cfRule type="expression" dxfId="1796" priority="39" stopIfTrue="1">
      <formula>($D$26="Ersatzruhetag")</formula>
    </cfRule>
  </conditionalFormatting>
  <conditionalFormatting sqref="B27:T27 V27">
    <cfRule type="expression" dxfId="1795" priority="40" stopIfTrue="1">
      <formula>($E$27=0)</formula>
    </cfRule>
    <cfRule type="expression" dxfId="1794" priority="41" stopIfTrue="1">
      <formula>($D$27="Ersatzruhetag")</formula>
    </cfRule>
  </conditionalFormatting>
  <conditionalFormatting sqref="B28:T28 V28">
    <cfRule type="expression" dxfId="1793" priority="43" stopIfTrue="1">
      <formula>($D$28="Ersatzruhetag")</formula>
    </cfRule>
    <cfRule type="expression" dxfId="1792" priority="42" stopIfTrue="1">
      <formula>($E$28=0)</formula>
    </cfRule>
  </conditionalFormatting>
  <conditionalFormatting sqref="B29:T29 V29">
    <cfRule type="expression" dxfId="1791" priority="44" stopIfTrue="1">
      <formula>($E$29=0)</formula>
    </cfRule>
    <cfRule type="expression" dxfId="1790" priority="45" stopIfTrue="1">
      <formula>($D$29="Ersatzruhetag")</formula>
    </cfRule>
  </conditionalFormatting>
  <conditionalFormatting sqref="B30:T30 V30">
    <cfRule type="expression" dxfId="1789" priority="46" stopIfTrue="1">
      <formula>($E$30=0)</formula>
    </cfRule>
    <cfRule type="expression" dxfId="1788" priority="47" stopIfTrue="1">
      <formula>($D$30="Ersatzruhetag")</formula>
    </cfRule>
  </conditionalFormatting>
  <conditionalFormatting sqref="B31:T31 V31">
    <cfRule type="expression" dxfId="1787" priority="48" stopIfTrue="1">
      <formula>($E$31=0)</formula>
    </cfRule>
    <cfRule type="expression" dxfId="1786" priority="49" stopIfTrue="1">
      <formula>($D$31="Ersatzruhetag")</formula>
    </cfRule>
  </conditionalFormatting>
  <conditionalFormatting sqref="B32:T32 V32">
    <cfRule type="expression" dxfId="1785" priority="51" stopIfTrue="1">
      <formula>($D$32="Ersatzruhetag")</formula>
    </cfRule>
    <cfRule type="expression" dxfId="1784" priority="50" stopIfTrue="1">
      <formula>($E$32=0)</formula>
    </cfRule>
  </conditionalFormatting>
  <conditionalFormatting sqref="B33:T33 V33">
    <cfRule type="expression" dxfId="1783" priority="53" stopIfTrue="1">
      <formula>($D$33="Ersatzruhetag")</formula>
    </cfRule>
    <cfRule type="expression" dxfId="1782" priority="52" stopIfTrue="1">
      <formula>($E$33=0)</formula>
    </cfRule>
  </conditionalFormatting>
  <conditionalFormatting sqref="B34:T34 V34">
    <cfRule type="expression" dxfId="1781" priority="55" stopIfTrue="1">
      <formula>($D$34="Ersatzruhetag")</formula>
    </cfRule>
    <cfRule type="expression" dxfId="1780" priority="54" stopIfTrue="1">
      <formula>($E$34=0)</formula>
    </cfRule>
  </conditionalFormatting>
  <conditionalFormatting sqref="B35:T35 V35">
    <cfRule type="expression" dxfId="1779" priority="57" stopIfTrue="1">
      <formula>($D$35="Ersatzruhetag")</formula>
    </cfRule>
    <cfRule type="expression" dxfId="1778" priority="56" stopIfTrue="1">
      <formula>($E$35=0)</formula>
    </cfRule>
  </conditionalFormatting>
  <conditionalFormatting sqref="B36:T36 V36">
    <cfRule type="expression" dxfId="1777" priority="59" stopIfTrue="1">
      <formula>($D$36="Ersatzruhetag")</formula>
    </cfRule>
    <cfRule type="expression" dxfId="1776" priority="58" stopIfTrue="1">
      <formula>($E$36=0)</formula>
    </cfRule>
  </conditionalFormatting>
  <conditionalFormatting sqref="B37:T37 V37">
    <cfRule type="expression" dxfId="1775" priority="61" stopIfTrue="1">
      <formula>($D$37="Ersatzruhetag")</formula>
    </cfRule>
    <cfRule type="expression" dxfId="1774" priority="60" stopIfTrue="1">
      <formula>($E$37=0)</formula>
    </cfRule>
  </conditionalFormatting>
  <conditionalFormatting sqref="B38:T38 V38">
    <cfRule type="expression" dxfId="1773" priority="63" stopIfTrue="1">
      <formula>($D$38="Ersatzruhetag")</formula>
    </cfRule>
    <cfRule type="expression" dxfId="1772" priority="62" stopIfTrue="1">
      <formula>($E$38=0)</formula>
    </cfRule>
  </conditionalFormatting>
  <conditionalFormatting sqref="B39:T39 V39">
    <cfRule type="expression" dxfId="1771" priority="65" stopIfTrue="1">
      <formula>($D$39="Ersatzruhetag")</formula>
    </cfRule>
    <cfRule type="expression" dxfId="1770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9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0.140625" style="94" hidden="1" customWidth="1"/>
    <col min="5" max="5" width="7.140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DATE(Datenblatt!F5,6,1)</f>
        <v>46174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"&amp;Datenblatt!$Z$33&amp;";"&amp;"    Di: "&amp;Datenblatt!$Z$34&amp;";"&amp;"    Mi: "&amp;Datenblatt!$Z$35&amp;";"&amp;"    Do: "&amp;Datenblatt!$Z$36&amp;";"&amp;"    Fr: "&amp;Datenblatt!$Z$37&amp;";"&amp;"    Sa: "&amp;Datenblatt!$Z$38&amp;";"&amp;"    So: "&amp;Datenblatt!$Z$39&amp;""&amp;"     -    Wochenarbeitszeit:  "&amp;Datenblatt!$Z$40&amp;"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Mai!T5+Datenblatt!Z41</f>
        <v>190</v>
      </c>
      <c r="U4" s="405"/>
      <c r="V4" s="141"/>
      <c r="W4" s="142" t="str">
        <f>"Urlaubsanspruch per 01.06."&amp;Datenblatt!$F$5</f>
        <v>Urlaubsanspruch per 01.06.2026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"&amp;IF(Datenblatt!Z42=1,Datenblatt!D34,IF(Datenblatt!Z42=2,Datenblatt!D35,IF(Datenblatt!Z42=3,Datenblatt!D36,IF(Datenblatt!Z42=4,Datenblatt!D37))))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T4-Q40+Datenblatt!Z41</f>
        <v>190</v>
      </c>
      <c r="U5" s="405"/>
      <c r="V5" s="141"/>
      <c r="W5" s="143" t="str">
        <f>"Resturlaub per 30.06."&amp;Datenblatt!$F$5</f>
        <v>Resturlaub per 30.06.2026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46174</v>
      </c>
      <c r="C9" s="157">
        <f t="shared" ref="C9:C38" si="0">B9</f>
        <v>46174</v>
      </c>
      <c r="D9" s="350">
        <f>IF(VLOOKUP($B9,Datenblatt!$A$43:$A$65,1,1)=$B9,0,VLOOKUP(WEEKDAY($B9),Datenblatt!$X$33:$Z$39,3,FALSE))</f>
        <v>8</v>
      </c>
      <c r="E9" s="350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8" si="4">B9+1</f>
        <v>46175</v>
      </c>
      <c r="C10" s="157">
        <f t="shared" si="0"/>
        <v>46175</v>
      </c>
      <c r="D10" s="351">
        <f>IF(VLOOKUP($B10,Datenblatt!$A$43:$A$65,1,1)=$B10,0,VLOOKUP(WEEKDAY($B10),Datenblatt!$X$33:$Z$39,3,FALSE))</f>
        <v>8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46176</v>
      </c>
      <c r="C11" s="157">
        <f t="shared" si="0"/>
        <v>46176</v>
      </c>
      <c r="D11" s="352">
        <f>IF(VLOOKUP($B11,Datenblatt!$A$43:$A$65,1,1)=$B11,0,VLOOKUP(WEEKDAY($B11),Datenblatt!$X$33:$Z$39,3,FALSE))</f>
        <v>8</v>
      </c>
      <c r="E11" s="352">
        <f>IF(VLOOKUP($B11,Datenblatt!$A$43:$A$65,1,1)=$B11,0,IF(WEEKDAY($B11)=7,1,IF(WEEKDAY($B11)=1,0,2)))</f>
        <v>2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46177</v>
      </c>
      <c r="C12" s="157">
        <f t="shared" si="0"/>
        <v>46177</v>
      </c>
      <c r="D12" s="352">
        <f>IF(VLOOKUP($B12,Datenblatt!$A$43:$A$65,1,1)=$B12,0,VLOOKUP(WEEKDAY($B12),Datenblatt!$X$33:$Z$39,3,FALSE))</f>
        <v>0</v>
      </c>
      <c r="E12" s="352">
        <f>IF(VLOOKUP($B12,Datenblatt!$A$43:$A$65,1,1)=$B12,0,IF(WEEKDAY($B12)=7,1,IF(WEEKDAY($B12)=1,0,2)))</f>
        <v>0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>Fronleichnam</v>
      </c>
      <c r="W12" s="413"/>
      <c r="X12" s="414"/>
      <c r="AA12" s="173"/>
    </row>
    <row r="13" spans="2:128" s="155" customFormat="1" ht="12.2" customHeight="1">
      <c r="B13" s="156">
        <f t="shared" si="4"/>
        <v>46178</v>
      </c>
      <c r="C13" s="157">
        <f t="shared" si="0"/>
        <v>46178</v>
      </c>
      <c r="D13" s="352">
        <f>IF(VLOOKUP($B13,Datenblatt!$A$43:$A$65,1,1)=$B13,0,VLOOKUP(WEEKDAY($B13),Datenblatt!$X$33:$Z$39,3,FALSE))</f>
        <v>6</v>
      </c>
      <c r="E13" s="352">
        <f>IF(VLOOKUP($B13,Datenblatt!$A$43:$A$65,1,1)=$B13,0,IF(WEEKDAY($B13)=7,1,IF(WEEKDAY($B13)=1,0,2)))</f>
        <v>2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46179</v>
      </c>
      <c r="C14" s="157">
        <f t="shared" si="0"/>
        <v>46179</v>
      </c>
      <c r="D14" s="352">
        <f>IF(VLOOKUP($B14,Datenblatt!$A$43:$A$65,1,1)=$B14,0,VLOOKUP(WEEKDAY($B14),Datenblatt!$X$33:$Z$39,3,FALSE))</f>
        <v>0</v>
      </c>
      <c r="E14" s="352">
        <f>IF(VLOOKUP($B14,Datenblatt!$A$43:$A$65,1,1)=$B14,0,IF(WEEKDAY($B14)=7,1,IF(WEEKDAY($B14)=1,0,2)))</f>
        <v>1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46180</v>
      </c>
      <c r="C15" s="157">
        <f t="shared" si="0"/>
        <v>46180</v>
      </c>
      <c r="D15" s="352">
        <f>IF(VLOOKUP($B15,Datenblatt!$A$43:$A$65,1,1)=$B15,0,VLOOKUP(WEEKDAY($B15),Datenblatt!$X$33:$Z$39,3,FALSE))</f>
        <v>0</v>
      </c>
      <c r="E15" s="352">
        <f>IF(VLOOKUP($B15,Datenblatt!$A$43:$A$65,1,1)=$B15,0,IF(WEEKDAY($B15)=7,1,IF(WEEKDAY($B15)=1,0,2)))</f>
        <v>0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46181</v>
      </c>
      <c r="C16" s="157">
        <f t="shared" si="0"/>
        <v>46181</v>
      </c>
      <c r="D16" s="352">
        <f>IF(VLOOKUP($B16,Datenblatt!$A$43:$A$65,1,1)=$B16,0,VLOOKUP(WEEKDAY($B16),Datenblatt!$X$33:$Z$39,3,FALSE))</f>
        <v>8</v>
      </c>
      <c r="E16" s="352">
        <f>IF(VLOOKUP($B16,Datenblatt!$A$43:$A$65,1,1)=$B16,0,IF(WEEKDAY($B16)=7,1,IF(WEEKDAY($B16)=1,0,2)))</f>
        <v>2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46182</v>
      </c>
      <c r="C17" s="157">
        <f t="shared" si="0"/>
        <v>46182</v>
      </c>
      <c r="D17" s="352">
        <f>IF(VLOOKUP($B17,Datenblatt!$A$43:$A$65,1,1)=$B17,0,VLOOKUP(WEEKDAY($B17),Datenblatt!$X$33:$Z$39,3,FALSE))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46183</v>
      </c>
      <c r="C18" s="157">
        <f t="shared" si="0"/>
        <v>46183</v>
      </c>
      <c r="D18" s="352">
        <f>IF(VLOOKUP($B18,Datenblatt!$A$43:$A$65,1,1)=$B18,0,VLOOKUP(WEEKDAY($B18),Datenblatt!$X$33:$Z$39,3,FALSE))</f>
        <v>8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46184</v>
      </c>
      <c r="C19" s="157">
        <f t="shared" si="0"/>
        <v>46184</v>
      </c>
      <c r="D19" s="352">
        <f>IF(VLOOKUP($B19,Datenblatt!$A$43:$A$65,1,1)=$B19,0,VLOOKUP(WEEKDAY($B19),Datenblatt!$X$33:$Z$39,3,FALSE))</f>
        <v>8</v>
      </c>
      <c r="E19" s="352">
        <f>IF(VLOOKUP($B19,Datenblatt!$A$43:$A$65,1,1)=$B19,0,IF(WEEKDAY($B19)=7,1,IF(WEEKDAY($B19)=1,0,2)))</f>
        <v>2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46185</v>
      </c>
      <c r="C20" s="157">
        <f t="shared" si="0"/>
        <v>46185</v>
      </c>
      <c r="D20" s="352">
        <f>IF(VLOOKUP($B20,Datenblatt!$A$43:$A$65,1,1)=$B20,0,VLOOKUP(WEEKDAY($B20),Datenblatt!$X$33:$Z$39,3,FALSE))</f>
        <v>6</v>
      </c>
      <c r="E20" s="352">
        <f>IF(VLOOKUP($B20,Datenblatt!$A$43:$A$65,1,1)=$B20,0,IF(WEEKDAY($B20)=7,1,IF(WEEKDAY($B20)=1,0,2)))</f>
        <v>2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46186</v>
      </c>
      <c r="C21" s="157">
        <f t="shared" si="0"/>
        <v>46186</v>
      </c>
      <c r="D21" s="352">
        <f>IF(VLOOKUP($B21,Datenblatt!$A$43:$A$65,1,1)=$B21,0,VLOOKUP(WEEKDAY($B21),Datenblatt!$X$33:$Z$39,3,FALSE))</f>
        <v>0</v>
      </c>
      <c r="E21" s="352">
        <f>IF(VLOOKUP($B21,Datenblatt!$A$43:$A$65,1,1)=$B21,0,IF(WEEKDAY($B21)=7,1,IF(WEEKDAY($B21)=1,0,2)))</f>
        <v>1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46187</v>
      </c>
      <c r="C22" s="157">
        <f t="shared" si="0"/>
        <v>46187</v>
      </c>
      <c r="D22" s="352">
        <f>IF(VLOOKUP($B22,Datenblatt!$A$43:$A$65,1,1)=$B22,0,VLOOKUP(WEEKDAY($B22),Datenblatt!$X$33:$Z$39,3,FALSE))</f>
        <v>0</v>
      </c>
      <c r="E22" s="352">
        <f>IF(VLOOKUP($B22,Datenblatt!$A$43:$A$65,1,1)=$B22,0,IF(WEEKDAY($B22)=7,1,IF(WEEKDAY($B22)=1,0,2)))</f>
        <v>0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46188</v>
      </c>
      <c r="C23" s="157">
        <f t="shared" si="0"/>
        <v>46188</v>
      </c>
      <c r="D23" s="352">
        <f>IF(VLOOKUP($B23,Datenblatt!$A$43:$A$65,1,1)=$B23,0,VLOOKUP(WEEKDAY($B23),Datenblatt!$X$33:$Z$39,3,FALSE))</f>
        <v>8</v>
      </c>
      <c r="E23" s="352">
        <f>IF(VLOOKUP($B23,Datenblatt!$A$43:$A$65,1,1)=$B23,0,IF(WEEKDAY($B23)=7,1,IF(WEEKDAY($B23)=1,0,2)))</f>
        <v>2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46189</v>
      </c>
      <c r="C24" s="157">
        <f t="shared" si="0"/>
        <v>46189</v>
      </c>
      <c r="D24" s="352">
        <f>IF(VLOOKUP($B24,Datenblatt!$A$43:$A$65,1,1)=$B24,0,VLOOKUP(WEEKDAY($B24),Datenblatt!$X$33:$Z$39,3,FALSE))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46190</v>
      </c>
      <c r="C25" s="157">
        <f t="shared" si="0"/>
        <v>46190</v>
      </c>
      <c r="D25" s="352">
        <f>IF(VLOOKUP($B25,Datenblatt!$A$43:$A$65,1,1)=$B25,0,VLOOKUP(WEEKDAY($B25),Datenblatt!$X$33:$Z$39,3,FALSE))</f>
        <v>8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46191</v>
      </c>
      <c r="C26" s="157">
        <f t="shared" si="0"/>
        <v>46191</v>
      </c>
      <c r="D26" s="352">
        <f>IF(VLOOKUP($B26,Datenblatt!$A$43:$A$65,1,1)=$B26,0,VLOOKUP(WEEKDAY($B26),Datenblatt!$X$33:$Z$39,3,FALSE))</f>
        <v>8</v>
      </c>
      <c r="E26" s="352">
        <f>IF(VLOOKUP($B26,Datenblatt!$A$43:$A$65,1,1)=$B26,0,IF(WEEKDAY($B26)=7,1,IF(WEEKDAY($B26)=1,0,2)))</f>
        <v>2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46192</v>
      </c>
      <c r="C27" s="157">
        <f t="shared" si="0"/>
        <v>46192</v>
      </c>
      <c r="D27" s="352">
        <f>IF(VLOOKUP($B27,Datenblatt!$A$43:$A$65,1,1)=$B27,0,VLOOKUP(WEEKDAY($B27),Datenblatt!$X$33:$Z$39,3,FALSE))</f>
        <v>6</v>
      </c>
      <c r="E27" s="352">
        <f>IF(VLOOKUP($B27,Datenblatt!$A$43:$A$65,1,1)=$B27,0,IF(WEEKDAY($B27)=7,1,IF(WEEKDAY($B27)=1,0,2)))</f>
        <v>2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46193</v>
      </c>
      <c r="C28" s="157">
        <f t="shared" si="0"/>
        <v>46193</v>
      </c>
      <c r="D28" s="352">
        <f>IF(VLOOKUP($B28,Datenblatt!$A$43:$A$65,1,1)=$B28,0,VLOOKUP(WEEKDAY($B28),Datenblatt!$X$33:$Z$39,3,FALSE))</f>
        <v>0</v>
      </c>
      <c r="E28" s="352">
        <f>IF(VLOOKUP($B28,Datenblatt!$A$43:$A$65,1,1)=$B28,0,IF(WEEKDAY($B28)=7,1,IF(WEEKDAY($B28)=1,0,2)))</f>
        <v>1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46194</v>
      </c>
      <c r="C29" s="157">
        <f t="shared" si="0"/>
        <v>46194</v>
      </c>
      <c r="D29" s="352">
        <f>IF(VLOOKUP($B29,Datenblatt!$A$43:$A$65,1,1)=$B29,0,VLOOKUP(WEEKDAY($B29),Datenblatt!$X$33:$Z$39,3,FALSE))</f>
        <v>0</v>
      </c>
      <c r="E29" s="352">
        <f>IF(VLOOKUP($B29,Datenblatt!$A$43:$A$65,1,1)=$B29,0,IF(WEEKDAY($B29)=7,1,IF(WEEKDAY($B29)=1,0,2)))</f>
        <v>0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46195</v>
      </c>
      <c r="C30" s="157">
        <f t="shared" si="0"/>
        <v>46195</v>
      </c>
      <c r="D30" s="352">
        <f>IF(VLOOKUP($B30,Datenblatt!$A$43:$A$65,1,1)=$B30,0,VLOOKUP(WEEKDAY($B30),Datenblatt!$X$33:$Z$39,3,FALSE))</f>
        <v>8</v>
      </c>
      <c r="E30" s="352">
        <f>IF(VLOOKUP($B30,Datenblatt!$A$43:$A$65,1,1)=$B30,0,IF(WEEKDAY($B30)=7,1,IF(WEEKDAY($B30)=1,0,2)))</f>
        <v>2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46196</v>
      </c>
      <c r="C31" s="157">
        <f t="shared" si="0"/>
        <v>46196</v>
      </c>
      <c r="D31" s="352">
        <f>IF(VLOOKUP($B31,Datenblatt!$A$43:$A$65,1,1)=$B31,0,VLOOKUP(WEEKDAY($B31),Datenblatt!$X$33:$Z$39,3,FALSE))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46197</v>
      </c>
      <c r="C32" s="157">
        <f t="shared" si="0"/>
        <v>46197</v>
      </c>
      <c r="D32" s="352">
        <f>IF(VLOOKUP($B32,Datenblatt!$A$43:$A$65,1,1)=$B32,0,VLOOKUP(WEEKDAY($B32),Datenblatt!$X$33:$Z$39,3,FALSE))</f>
        <v>8</v>
      </c>
      <c r="E32" s="352">
        <f>IF(VLOOKUP($B32,Datenblatt!$A$43:$A$65,1,1)=$B32,0,IF(WEEKDAY($B32)=7,1,IF(WEEKDAY($B32)=1,0,2)))</f>
        <v>2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46198</v>
      </c>
      <c r="C33" s="157">
        <f t="shared" si="0"/>
        <v>46198</v>
      </c>
      <c r="D33" s="352">
        <f>IF(VLOOKUP($B33,Datenblatt!$A$43:$A$65,1,1)=$B33,0,VLOOKUP(WEEKDAY($B33),Datenblatt!$X$33:$Z$39,3,FALSE))</f>
        <v>8</v>
      </c>
      <c r="E33" s="352">
        <f>IF(VLOOKUP($B33,Datenblatt!$A$43:$A$65,1,1)=$B33,0,IF(WEEKDAY($B33)=7,1,IF(WEEKDAY($B33)=1,0,2)))</f>
        <v>2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46199</v>
      </c>
      <c r="C34" s="157">
        <f t="shared" si="0"/>
        <v>46199</v>
      </c>
      <c r="D34" s="352">
        <f>IF(VLOOKUP($B34,Datenblatt!$A$43:$A$65,1,1)=$B34,0,VLOOKUP(WEEKDAY($B34),Datenblatt!$X$33:$Z$39,3,FALSE))</f>
        <v>6</v>
      </c>
      <c r="E34" s="352">
        <f>IF(VLOOKUP($B34,Datenblatt!$A$43:$A$65,1,1)=$B34,0,IF(WEEKDAY($B34)=7,1,IF(WEEKDAY($B34)=1,0,2)))</f>
        <v>2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46200</v>
      </c>
      <c r="C35" s="157">
        <f t="shared" si="0"/>
        <v>46200</v>
      </c>
      <c r="D35" s="352">
        <f>IF(VLOOKUP($B35,Datenblatt!$A$43:$A$65,1,1)=$B35,0,VLOOKUP(WEEKDAY($B35),Datenblatt!$X$33:$Z$39,3,FALSE))</f>
        <v>0</v>
      </c>
      <c r="E35" s="352">
        <f>IF(VLOOKUP($B35,Datenblatt!$A$43:$A$65,1,1)=$B35,0,IF(WEEKDAY($B35)=7,1,IF(WEEKDAY($B35)=1,0,2)))</f>
        <v>1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46201</v>
      </c>
      <c r="C36" s="157">
        <f t="shared" si="0"/>
        <v>46201</v>
      </c>
      <c r="D36" s="352">
        <f>IF(VLOOKUP($B36,Datenblatt!$A$43:$A$65,1,1)=$B36,0,VLOOKUP(WEEKDAY($B36),Datenblatt!$X$33:$Z$39,3,FALSE))</f>
        <v>0</v>
      </c>
      <c r="E36" s="352">
        <f>IF(VLOOKUP($B36,Datenblatt!$A$43:$A$65,1,1)=$B36,0,IF(WEEKDAY($B36)=7,1,IF(WEEKDAY($B36)=1,0,2)))</f>
        <v>0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46202</v>
      </c>
      <c r="C37" s="157">
        <f t="shared" si="0"/>
        <v>46202</v>
      </c>
      <c r="D37" s="352">
        <f>IF(VLOOKUP($B37,Datenblatt!$A$43:$A$65,1,1)=$B37,0,VLOOKUP(WEEKDAY($B37),Datenblatt!$X$33:$Z$39,3,FALSE))</f>
        <v>8</v>
      </c>
      <c r="E37" s="352">
        <f>IF(VLOOKUP($B37,Datenblatt!$A$43:$A$65,1,1)=$B37,0,IF(WEEKDAY($B37)=7,1,IF(WEEKDAY($B37)=1,0,2)))</f>
        <v>2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46203</v>
      </c>
      <c r="C38" s="157">
        <f t="shared" si="0"/>
        <v>46203</v>
      </c>
      <c r="D38" s="352">
        <f>IF(VLOOKUP($B38,Datenblatt!$A$43:$A$65,1,1)=$B38,0,VLOOKUP(WEEKDAY($B38),Datenblatt!$X$33:$Z$39,3,FALSE))</f>
        <v>8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/>
      <c r="C39" s="157"/>
      <c r="D39" s="158"/>
      <c r="E39" s="158"/>
      <c r="F39" s="197"/>
      <c r="G39" s="198"/>
      <c r="H39" s="199"/>
      <c r="I39" s="200"/>
      <c r="J39" s="199"/>
      <c r="K39" s="200"/>
      <c r="L39" s="201"/>
      <c r="M39" s="202"/>
      <c r="N39" s="203"/>
      <c r="O39" s="203"/>
      <c r="P39" s="204"/>
      <c r="Q39" s="205"/>
      <c r="R39" s="171" t="str">
        <f t="shared" si="1"/>
        <v/>
      </c>
      <c r="S39" s="172" t="str">
        <f t="shared" si="2"/>
        <v/>
      </c>
      <c r="T39" s="169" t="str">
        <f t="shared" si="3"/>
        <v/>
      </c>
      <c r="U39" s="170"/>
      <c r="V39" s="415"/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Juni "&amp;Datenblatt!$F$5&amp;":"</f>
        <v>Sollstunden für Juni 2026:</v>
      </c>
      <c r="N41" s="66"/>
      <c r="O41" s="66"/>
      <c r="P41" s="186"/>
      <c r="R41" s="187"/>
      <c r="S41" s="403">
        <f>SUM(D9:D39)</f>
        <v>160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Juni "&amp;Datenblatt!F5&amp;":   ","Zeitdefizit im Monat Juni "&amp;Datenblatt!F5&amp;":   ")</f>
        <v xml:space="preserve">Zeitdefizit im Monat Juni 2026:   </v>
      </c>
      <c r="N42" s="189"/>
      <c r="O42" s="189"/>
      <c r="R42" s="190"/>
      <c r="S42" s="397">
        <f>T40-SUM(D9:D39)</f>
        <v>-160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Mai "&amp;Datenblatt!F5&amp;":   ","  - Zeitdefizit aus Mai "&amp;Datenblatt!F5&amp;":   ")</f>
        <v xml:space="preserve">  - Zeitdefizit aus Mai 2026:   </v>
      </c>
      <c r="S43" s="398">
        <f>Mai!S44</f>
        <v>-760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Juli "&amp;Datenblatt!F5</f>
        <v>Übertrag für Juli 2026</v>
      </c>
      <c r="R44" s="195"/>
      <c r="S44" s="399">
        <f>S43+S42-I42</f>
        <v>-920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769" priority="1" stopIfTrue="1" operator="equal">
      <formula>MATCH($E15,0)</formula>
    </cfRule>
    <cfRule type="expression" dxfId="1768" priority="2" stopIfTrue="1">
      <formula>"WOCHENTAG($B8)=1"</formula>
    </cfRule>
    <cfRule type="expression" dxfId="1767" priority="3" stopIfTrue="1">
      <formula>"WOCHENTAG($B8)=7"</formula>
    </cfRule>
  </conditionalFormatting>
  <conditionalFormatting sqref="B9:C9">
    <cfRule type="expression" dxfId="1766" priority="68" stopIfTrue="1">
      <formula>($E$9=1)</formula>
    </cfRule>
  </conditionalFormatting>
  <conditionalFormatting sqref="B10:C10">
    <cfRule type="expression" dxfId="1765" priority="71" stopIfTrue="1">
      <formula>($E$10=1)</formula>
    </cfRule>
  </conditionalFormatting>
  <conditionalFormatting sqref="B11:C11">
    <cfRule type="expression" dxfId="1764" priority="74" stopIfTrue="1">
      <formula>($E$11=1)</formula>
    </cfRule>
  </conditionalFormatting>
  <conditionalFormatting sqref="B12:C12">
    <cfRule type="expression" dxfId="1763" priority="77" stopIfTrue="1">
      <formula>($E$12=1)</formula>
    </cfRule>
  </conditionalFormatting>
  <conditionalFormatting sqref="B13:C13">
    <cfRule type="expression" dxfId="1762" priority="80" stopIfTrue="1">
      <formula>($E$13=1)</formula>
    </cfRule>
  </conditionalFormatting>
  <conditionalFormatting sqref="B14:C14">
    <cfRule type="expression" dxfId="1761" priority="83" stopIfTrue="1">
      <formula>($E$14=1)</formula>
    </cfRule>
  </conditionalFormatting>
  <conditionalFormatting sqref="B15:C15">
    <cfRule type="expression" dxfId="1760" priority="86" stopIfTrue="1">
      <formula>($E$15=1)</formula>
    </cfRule>
  </conditionalFormatting>
  <conditionalFormatting sqref="B16:C16">
    <cfRule type="expression" dxfId="1759" priority="89" stopIfTrue="1">
      <formula>($E$16=1)</formula>
    </cfRule>
  </conditionalFormatting>
  <conditionalFormatting sqref="B17:C17">
    <cfRule type="expression" dxfId="1758" priority="92" stopIfTrue="1">
      <formula>($E$17=1)</formula>
    </cfRule>
  </conditionalFormatting>
  <conditionalFormatting sqref="B18:C18">
    <cfRule type="expression" dxfId="1757" priority="95" stopIfTrue="1">
      <formula>($E$18=1)</formula>
    </cfRule>
  </conditionalFormatting>
  <conditionalFormatting sqref="B19:C19">
    <cfRule type="expression" dxfId="1756" priority="98" stopIfTrue="1">
      <formula>($E$19=1)</formula>
    </cfRule>
  </conditionalFormatting>
  <conditionalFormatting sqref="B20:C20">
    <cfRule type="expression" dxfId="1755" priority="101" stopIfTrue="1">
      <formula>($E$20=1)</formula>
    </cfRule>
  </conditionalFormatting>
  <conditionalFormatting sqref="B21:C21">
    <cfRule type="expression" dxfId="1754" priority="104" stopIfTrue="1">
      <formula>($E$21=1)</formula>
    </cfRule>
  </conditionalFormatting>
  <conditionalFormatting sqref="B22:C22">
    <cfRule type="expression" dxfId="1753" priority="107" stopIfTrue="1">
      <formula>($E$22=1)</formula>
    </cfRule>
  </conditionalFormatting>
  <conditionalFormatting sqref="B23:C23">
    <cfRule type="expression" dxfId="1752" priority="110" stopIfTrue="1">
      <formula>($E$23=1)</formula>
    </cfRule>
  </conditionalFormatting>
  <conditionalFormatting sqref="B24:C24">
    <cfRule type="expression" dxfId="1751" priority="113" stopIfTrue="1">
      <formula>($E$24=1)</formula>
    </cfRule>
  </conditionalFormatting>
  <conditionalFormatting sqref="B25:C25">
    <cfRule type="expression" dxfId="1750" priority="116" stopIfTrue="1">
      <formula>($E$25=1)</formula>
    </cfRule>
  </conditionalFormatting>
  <conditionalFormatting sqref="B26:C26">
    <cfRule type="expression" dxfId="1749" priority="119" stopIfTrue="1">
      <formula>($E$26=1)</formula>
    </cfRule>
  </conditionalFormatting>
  <conditionalFormatting sqref="B27:C27">
    <cfRule type="expression" dxfId="1748" priority="122" stopIfTrue="1">
      <formula>($E$27=1)</formula>
    </cfRule>
  </conditionalFormatting>
  <conditionalFormatting sqref="B28:C28">
    <cfRule type="expression" dxfId="1747" priority="125" stopIfTrue="1">
      <formula>($E$28=1)</formula>
    </cfRule>
  </conditionalFormatting>
  <conditionalFormatting sqref="B29:C29">
    <cfRule type="expression" dxfId="1746" priority="128" stopIfTrue="1">
      <formula>($E$29=1)</formula>
    </cfRule>
  </conditionalFormatting>
  <conditionalFormatting sqref="B30:C30">
    <cfRule type="expression" dxfId="1745" priority="131" stopIfTrue="1">
      <formula>($E$30=1)</formula>
    </cfRule>
  </conditionalFormatting>
  <conditionalFormatting sqref="B31:C31">
    <cfRule type="expression" dxfId="1744" priority="134" stopIfTrue="1">
      <formula>($E$31=1)</formula>
    </cfRule>
  </conditionalFormatting>
  <conditionalFormatting sqref="B32:C32">
    <cfRule type="expression" dxfId="1743" priority="137" stopIfTrue="1">
      <formula>($E$32=1)</formula>
    </cfRule>
  </conditionalFormatting>
  <conditionalFormatting sqref="B33:C33">
    <cfRule type="expression" dxfId="1742" priority="140" stopIfTrue="1">
      <formula>($E$33=1)</formula>
    </cfRule>
  </conditionalFormatting>
  <conditionalFormatting sqref="B34:C34">
    <cfRule type="expression" dxfId="1741" priority="143" stopIfTrue="1">
      <formula>($E$34=1)</formula>
    </cfRule>
  </conditionalFormatting>
  <conditionalFormatting sqref="B35:C35">
    <cfRule type="expression" dxfId="1740" priority="146" stopIfTrue="1">
      <formula>($E$35=1)</formula>
    </cfRule>
  </conditionalFormatting>
  <conditionalFormatting sqref="B36:C36">
    <cfRule type="expression" dxfId="1739" priority="149" stopIfTrue="1">
      <formula>($E$36=1)</formula>
    </cfRule>
  </conditionalFormatting>
  <conditionalFormatting sqref="B37:C37">
    <cfRule type="expression" dxfId="1738" priority="152" stopIfTrue="1">
      <formula>($E$37=1)</formula>
    </cfRule>
  </conditionalFormatting>
  <conditionalFormatting sqref="B38:C38">
    <cfRule type="expression" dxfId="1737" priority="155" stopIfTrue="1">
      <formula>($E$38=1)</formula>
    </cfRule>
  </conditionalFormatting>
  <conditionalFormatting sqref="B9:T9 V9">
    <cfRule type="expression" dxfId="1736" priority="6" stopIfTrue="1">
      <formula>($E$9=0)</formula>
    </cfRule>
    <cfRule type="expression" dxfId="1735" priority="7" stopIfTrue="1">
      <formula>($D$9="Ersatzruhetag")</formula>
    </cfRule>
  </conditionalFormatting>
  <conditionalFormatting sqref="B10:T10 V10">
    <cfRule type="expression" dxfId="1734" priority="8" stopIfTrue="1">
      <formula>($E$10=0)</formula>
    </cfRule>
    <cfRule type="expression" dxfId="1733" priority="9" stopIfTrue="1">
      <formula>($D$10="Ersatzruhetag")</formula>
    </cfRule>
  </conditionalFormatting>
  <conditionalFormatting sqref="B11:T11 V11">
    <cfRule type="expression" dxfId="1732" priority="10" stopIfTrue="1">
      <formula>($E$11=0)</formula>
    </cfRule>
    <cfRule type="expression" dxfId="1731" priority="11" stopIfTrue="1">
      <formula>($D$11="Ersatzruhetag")</formula>
    </cfRule>
  </conditionalFormatting>
  <conditionalFormatting sqref="B12:T12 V12">
    <cfRule type="expression" dxfId="1730" priority="13" stopIfTrue="1">
      <formula>($D$12="Ersatzruhetag")</formula>
    </cfRule>
    <cfRule type="expression" dxfId="1729" priority="12" stopIfTrue="1">
      <formula>($E$12=0)</formula>
    </cfRule>
  </conditionalFormatting>
  <conditionalFormatting sqref="B13:T13 V13">
    <cfRule type="expression" dxfId="1728" priority="14" stopIfTrue="1">
      <formula>($E$13=0)</formula>
    </cfRule>
    <cfRule type="expression" dxfId="1727" priority="15" stopIfTrue="1">
      <formula>($D$13="Ersatzruhetag")</formula>
    </cfRule>
  </conditionalFormatting>
  <conditionalFormatting sqref="B14:T14 V14">
    <cfRule type="expression" dxfId="1726" priority="16" stopIfTrue="1">
      <formula>($E$14=0)</formula>
    </cfRule>
    <cfRule type="expression" dxfId="1725" priority="17" stopIfTrue="1">
      <formula>($D$14="Ersatzruhetag")</formula>
    </cfRule>
  </conditionalFormatting>
  <conditionalFormatting sqref="B15:T15 V15">
    <cfRule type="expression" dxfId="1724" priority="18" stopIfTrue="1">
      <formula>($E$15=0)</formula>
    </cfRule>
    <cfRule type="expression" dxfId="1723" priority="19" stopIfTrue="1">
      <formula>($D$15="Ersatzruhetag")</formula>
    </cfRule>
  </conditionalFormatting>
  <conditionalFormatting sqref="B16:T16 V16">
    <cfRule type="expression" dxfId="1722" priority="21" stopIfTrue="1">
      <formula>($D$16="Ersatzruhetag")</formula>
    </cfRule>
    <cfRule type="expression" dxfId="1721" priority="20" stopIfTrue="1">
      <formula>($E$16=0)</formula>
    </cfRule>
  </conditionalFormatting>
  <conditionalFormatting sqref="B17:T17 V17">
    <cfRule type="expression" dxfId="1720" priority="23" stopIfTrue="1">
      <formula>($D$17="Ersatzruhetag")</formula>
    </cfRule>
    <cfRule type="expression" dxfId="1719" priority="22" stopIfTrue="1">
      <formula>($E$17=0)</formula>
    </cfRule>
  </conditionalFormatting>
  <conditionalFormatting sqref="B18:T18 V18">
    <cfRule type="expression" dxfId="1718" priority="25" stopIfTrue="1">
      <formula>($D$18="Ersatzruhetag")</formula>
    </cfRule>
    <cfRule type="expression" dxfId="1717" priority="24" stopIfTrue="1">
      <formula>($E$18=0)</formula>
    </cfRule>
  </conditionalFormatting>
  <conditionalFormatting sqref="B19:T19 V19">
    <cfRule type="expression" dxfId="1716" priority="26" stopIfTrue="1">
      <formula>($E$19=0)</formula>
    </cfRule>
    <cfRule type="expression" dxfId="1715" priority="27" stopIfTrue="1">
      <formula>($D$19="Ersatzruhetag")</formula>
    </cfRule>
  </conditionalFormatting>
  <conditionalFormatting sqref="B20:T20 V20">
    <cfRule type="expression" dxfId="1714" priority="28" stopIfTrue="1">
      <formula>($E$20=0)</formula>
    </cfRule>
    <cfRule type="expression" dxfId="1713" priority="29" stopIfTrue="1">
      <formula>($D$20="Ersatzruhetag")</formula>
    </cfRule>
  </conditionalFormatting>
  <conditionalFormatting sqref="B21:T21 V21">
    <cfRule type="expression" dxfId="1712" priority="31" stopIfTrue="1">
      <formula>($D$21="Ersatzruhetag")</formula>
    </cfRule>
    <cfRule type="expression" dxfId="1711" priority="30" stopIfTrue="1">
      <formula>($E$21=0)</formula>
    </cfRule>
  </conditionalFormatting>
  <conditionalFormatting sqref="B22:T22 V22">
    <cfRule type="expression" dxfId="1710" priority="32" stopIfTrue="1">
      <formula>($E$22=0)</formula>
    </cfRule>
    <cfRule type="expression" dxfId="1709" priority="33" stopIfTrue="1">
      <formula>($D$22="Ersatzruhetag")</formula>
    </cfRule>
  </conditionalFormatting>
  <conditionalFormatting sqref="B23:T23 V23">
    <cfRule type="expression" dxfId="1708" priority="34" stopIfTrue="1">
      <formula>($E$23=0)</formula>
    </cfRule>
    <cfRule type="expression" dxfId="1707" priority="35" stopIfTrue="1">
      <formula>($D$23="Ersatzruhetag")</formula>
    </cfRule>
  </conditionalFormatting>
  <conditionalFormatting sqref="B24:T24 V24">
    <cfRule type="expression" dxfId="1706" priority="36" stopIfTrue="1">
      <formula>($E$24=0)</formula>
    </cfRule>
    <cfRule type="expression" dxfId="1705" priority="37" stopIfTrue="1">
      <formula>($D$24="Ersatzruhetag")</formula>
    </cfRule>
  </conditionalFormatting>
  <conditionalFormatting sqref="B25:T25 V25">
    <cfRule type="expression" dxfId="1704" priority="39" stopIfTrue="1">
      <formula>($D$25="Ersatzruhetag")</formula>
    </cfRule>
    <cfRule type="expression" dxfId="1703" priority="38" stopIfTrue="1">
      <formula>($E$25=0)</formula>
    </cfRule>
  </conditionalFormatting>
  <conditionalFormatting sqref="B26:T26 V26">
    <cfRule type="expression" dxfId="1702" priority="40" stopIfTrue="1">
      <formula>($E$26=0)</formula>
    </cfRule>
    <cfRule type="expression" dxfId="1701" priority="41" stopIfTrue="1">
      <formula>($D$26="Ersatzruhetag")</formula>
    </cfRule>
  </conditionalFormatting>
  <conditionalFormatting sqref="B27:T27 V27">
    <cfRule type="expression" dxfId="1700" priority="42" stopIfTrue="1">
      <formula>($E$27=0)</formula>
    </cfRule>
    <cfRule type="expression" dxfId="1699" priority="43" stopIfTrue="1">
      <formula>($D$27="Ersatzruhetag")</formula>
    </cfRule>
  </conditionalFormatting>
  <conditionalFormatting sqref="B28:T28 V28">
    <cfRule type="expression" dxfId="1698" priority="45" stopIfTrue="1">
      <formula>($D$28="Ersatzruhetag")</formula>
    </cfRule>
    <cfRule type="expression" dxfId="1697" priority="44" stopIfTrue="1">
      <formula>($E$28=0)</formula>
    </cfRule>
  </conditionalFormatting>
  <conditionalFormatting sqref="B29:T29 V29">
    <cfRule type="expression" dxfId="1696" priority="46" stopIfTrue="1">
      <formula>($E$29=0)</formula>
    </cfRule>
    <cfRule type="expression" dxfId="1695" priority="47" stopIfTrue="1">
      <formula>($D$29="Ersatzruhetag")</formula>
    </cfRule>
  </conditionalFormatting>
  <conditionalFormatting sqref="B30:T30 V30">
    <cfRule type="expression" dxfId="1694" priority="48" stopIfTrue="1">
      <formula>($E$30=0)</formula>
    </cfRule>
    <cfRule type="expression" dxfId="1693" priority="49" stopIfTrue="1">
      <formula>($D$30="Ersatzruhetag")</formula>
    </cfRule>
  </conditionalFormatting>
  <conditionalFormatting sqref="B31:T31 V31">
    <cfRule type="expression" dxfId="1692" priority="51" stopIfTrue="1">
      <formula>($D$31="Ersatzruhetag")</formula>
    </cfRule>
    <cfRule type="expression" dxfId="1691" priority="50" stopIfTrue="1">
      <formula>($E$31=0)</formula>
    </cfRule>
  </conditionalFormatting>
  <conditionalFormatting sqref="B32:T32 V32">
    <cfRule type="expression" dxfId="1690" priority="53" stopIfTrue="1">
      <formula>($D$32="Ersatzruhetag")</formula>
    </cfRule>
    <cfRule type="expression" dxfId="1689" priority="52" stopIfTrue="1">
      <formula>($E$32=0)</formula>
    </cfRule>
  </conditionalFormatting>
  <conditionalFormatting sqref="B33:T33 V33">
    <cfRule type="expression" dxfId="1688" priority="55" stopIfTrue="1">
      <formula>($D$33="Ersatzruhetag")</formula>
    </cfRule>
    <cfRule type="expression" dxfId="1687" priority="54" stopIfTrue="1">
      <formula>($E$33=0)</formula>
    </cfRule>
  </conditionalFormatting>
  <conditionalFormatting sqref="B34:T34 V34">
    <cfRule type="expression" dxfId="1686" priority="57" stopIfTrue="1">
      <formula>($D$34="Ersatzruhetag")</formula>
    </cfRule>
    <cfRule type="expression" dxfId="1685" priority="56" stopIfTrue="1">
      <formula>($E$34=0)</formula>
    </cfRule>
  </conditionalFormatting>
  <conditionalFormatting sqref="B35:T35 V35">
    <cfRule type="expression" dxfId="1684" priority="59" stopIfTrue="1">
      <formula>($D$35="Ersatzruhetag")</formula>
    </cfRule>
    <cfRule type="expression" dxfId="1683" priority="58" stopIfTrue="1">
      <formula>($E$35=0)</formula>
    </cfRule>
  </conditionalFormatting>
  <conditionalFormatting sqref="B36:T36 V36">
    <cfRule type="expression" dxfId="1682" priority="61" stopIfTrue="1">
      <formula>($D$36="Ersatzruhetag")</formula>
    </cfRule>
    <cfRule type="expression" dxfId="1681" priority="60" stopIfTrue="1">
      <formula>($E$36=0)</formula>
    </cfRule>
  </conditionalFormatting>
  <conditionalFormatting sqref="B37:T37 V37">
    <cfRule type="expression" dxfId="1680" priority="62" stopIfTrue="1">
      <formula>($E$37=0)</formula>
    </cfRule>
    <cfRule type="expression" dxfId="1679" priority="63" stopIfTrue="1">
      <formula>($D$37="Ersatzruhetag")</formula>
    </cfRule>
  </conditionalFormatting>
  <conditionalFormatting sqref="B38:T38 V38">
    <cfRule type="expression" dxfId="1678" priority="65" stopIfTrue="1">
      <formula>($D$38="Ersatzruhetag")</formula>
    </cfRule>
    <cfRule type="expression" dxfId="1677" priority="64" stopIfTrue="1">
      <formula>($E$38=0)</formula>
    </cfRule>
  </conditionalFormatting>
  <conditionalFormatting sqref="D39:E39 V39">
    <cfRule type="expression" dxfId="1676" priority="4" stopIfTrue="1">
      <formula>($E$39=0)</formula>
    </cfRule>
    <cfRule type="expression" dxfId="1675" priority="5" stopIfTrue="1">
      <formula>($D$39="Ersatzsonntag")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8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0.140625" style="94" hidden="1" customWidth="1"/>
    <col min="5" max="5" width="7.140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DATE(Datenblatt!F5,7,1)</f>
        <v>46204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"&amp;Datenblatt!$K$46&amp;";"&amp;"    Di: "&amp;Datenblatt!$K$47&amp;";"&amp;"    Mi: "&amp;Datenblatt!$K$48&amp;";"&amp;"    Do: "&amp;Datenblatt!$K$49&amp;";"&amp;"    Fr: "&amp;Datenblatt!$K$50&amp;";"&amp;"    Sa: "&amp;Datenblatt!$K$51&amp;";"&amp;"    So: "&amp;Datenblatt!$K$52&amp;""&amp;"     -    Wochenarbeitszeit:  "&amp;Datenblatt!$K$53&amp;"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Juni!T5+Datenblatt!K54</f>
        <v>190</v>
      </c>
      <c r="U4" s="405"/>
      <c r="V4" s="141"/>
      <c r="W4" s="142" t="str">
        <f>"Urlaubsanspruch per 01.07."&amp;Datenblatt!$F$5</f>
        <v>Urlaubsanspruch per 01.07.2026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"&amp;IF(Datenblatt!K55=1,Datenblatt!D34,IF(Datenblatt!K55=2,Datenblatt!D35,IF(Datenblatt!K55=3,Datenblatt!D36,IF(Datenblatt!K55=4,Datenblatt!D37))))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190</v>
      </c>
      <c r="U5" s="405"/>
      <c r="V5" s="141"/>
      <c r="W5" s="143" t="str">
        <f>"Resturlaub per 31.07."&amp;Datenblatt!$F$5</f>
        <v>Resturlaub per 31.07.2026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46204</v>
      </c>
      <c r="C9" s="157">
        <f t="shared" ref="C9:C39" si="0">B9</f>
        <v>46204</v>
      </c>
      <c r="D9" s="350">
        <f>IF(VLOOKUP($B9,Datenblatt!$A$43:$A$65,1,1)=$B9,0,VLOOKUP(WEEKDAY($B9),Datenblatt!$I$46:$K$52,3,FALSE))</f>
        <v>8</v>
      </c>
      <c r="E9" s="350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9" si="4">B9+1</f>
        <v>46205</v>
      </c>
      <c r="C10" s="157">
        <f t="shared" si="0"/>
        <v>46205</v>
      </c>
      <c r="D10" s="351">
        <f>IF(VLOOKUP($B10,Datenblatt!$A$43:$A$65,1,1)=$B10,0,VLOOKUP(WEEKDAY($B10),Datenblatt!$I$46:$K$52,3,FALSE))</f>
        <v>8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46206</v>
      </c>
      <c r="C11" s="157">
        <f t="shared" si="0"/>
        <v>46206</v>
      </c>
      <c r="D11" s="352">
        <f>IF(VLOOKUP($B11,Datenblatt!$A$43:$A$65,1,1)=$B11,0,VLOOKUP(WEEKDAY($B11),Datenblatt!$I$46:$K$52,3,FALSE))</f>
        <v>6</v>
      </c>
      <c r="E11" s="352">
        <f>IF(VLOOKUP($B11,Datenblatt!$A$43:$A$65,1,1)=$B11,0,IF(WEEKDAY($B11)=7,1,IF(WEEKDAY($B11)=1,0,2)))</f>
        <v>2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46207</v>
      </c>
      <c r="C12" s="157">
        <f t="shared" si="0"/>
        <v>46207</v>
      </c>
      <c r="D12" s="352">
        <f>IF(VLOOKUP($B12,Datenblatt!$A$43:$A$65,1,1)=$B12,0,VLOOKUP(WEEKDAY($B12),Datenblatt!$I$46:$K$52,3,FALSE))</f>
        <v>0</v>
      </c>
      <c r="E12" s="352">
        <f>IF(VLOOKUP($B12,Datenblatt!$A$43:$A$65,1,1)=$B12,0,IF(WEEKDAY($B12)=7,1,IF(WEEKDAY($B12)=1,0,2)))</f>
        <v>1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46208</v>
      </c>
      <c r="C13" s="157">
        <f t="shared" si="0"/>
        <v>46208</v>
      </c>
      <c r="D13" s="352">
        <f>IF(VLOOKUP($B13,Datenblatt!$A$43:$A$65,1,1)=$B13,0,VLOOKUP(WEEKDAY($B13),Datenblatt!$I$46:$K$52,3,FALSE))</f>
        <v>0</v>
      </c>
      <c r="E13" s="352">
        <f>IF(VLOOKUP($B13,Datenblatt!$A$43:$A$65,1,1)=$B13,0,IF(WEEKDAY($B13)=7,1,IF(WEEKDAY($B13)=1,0,2)))</f>
        <v>0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46209</v>
      </c>
      <c r="C14" s="157">
        <f t="shared" si="0"/>
        <v>46209</v>
      </c>
      <c r="D14" s="352">
        <f>IF(VLOOKUP($B14,Datenblatt!$A$43:$A$65,1,1)=$B14,0,VLOOKUP(WEEKDAY($B14),Datenblatt!$I$46:$K$52,3,FALSE))</f>
        <v>8</v>
      </c>
      <c r="E14" s="352">
        <f>IF(VLOOKUP($B14,Datenblatt!$A$43:$A$65,1,1)=$B14,0,IF(WEEKDAY($B14)=7,1,IF(WEEKDAY($B14)=1,0,2)))</f>
        <v>2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46210</v>
      </c>
      <c r="C15" s="157">
        <f t="shared" si="0"/>
        <v>46210</v>
      </c>
      <c r="D15" s="352">
        <f>IF(VLOOKUP($B15,Datenblatt!$A$43:$A$65,1,1)=$B15,0,VLOOKUP(WEEKDAY($B15),Datenblatt!$I$46:$K$52,3,FALSE))</f>
        <v>8</v>
      </c>
      <c r="E15" s="352">
        <f>IF(VLOOKUP($B15,Datenblatt!$A$43:$A$65,1,1)=$B15,0,IF(WEEKDAY($B15)=7,1,IF(WEEKDAY($B15)=1,0,2)))</f>
        <v>2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46211</v>
      </c>
      <c r="C16" s="157">
        <f t="shared" si="0"/>
        <v>46211</v>
      </c>
      <c r="D16" s="352">
        <f>IF(VLOOKUP($B16,Datenblatt!$A$43:$A$65,1,1)=$B16,0,VLOOKUP(WEEKDAY($B16),Datenblatt!$I$46:$K$52,3,FALSE))</f>
        <v>8</v>
      </c>
      <c r="E16" s="352">
        <f>IF(VLOOKUP($B16,Datenblatt!$A$43:$A$65,1,1)=$B16,0,IF(WEEKDAY($B16)=7,1,IF(WEEKDAY($B16)=1,0,2)))</f>
        <v>2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46212</v>
      </c>
      <c r="C17" s="157">
        <f t="shared" si="0"/>
        <v>46212</v>
      </c>
      <c r="D17" s="352">
        <f>IF(VLOOKUP($B17,Datenblatt!$A$43:$A$65,1,1)=$B17,0,VLOOKUP(WEEKDAY($B17),Datenblatt!$I$46:$K$52,3,FALSE))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46213</v>
      </c>
      <c r="C18" s="157">
        <f t="shared" si="0"/>
        <v>46213</v>
      </c>
      <c r="D18" s="352">
        <f>IF(VLOOKUP($B18,Datenblatt!$A$43:$A$65,1,1)=$B18,0,VLOOKUP(WEEKDAY($B18),Datenblatt!$I$46:$K$52,3,FALSE))</f>
        <v>6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46214</v>
      </c>
      <c r="C19" s="157">
        <f t="shared" si="0"/>
        <v>46214</v>
      </c>
      <c r="D19" s="352">
        <f>IF(VLOOKUP($B19,Datenblatt!$A$43:$A$65,1,1)=$B19,0,VLOOKUP(WEEKDAY($B19),Datenblatt!$I$46:$K$52,3,FALSE))</f>
        <v>0</v>
      </c>
      <c r="E19" s="352">
        <f>IF(VLOOKUP($B19,Datenblatt!$A$43:$A$65,1,1)=$B19,0,IF(WEEKDAY($B19)=7,1,IF(WEEKDAY($B19)=1,0,2)))</f>
        <v>1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46215</v>
      </c>
      <c r="C20" s="157">
        <f t="shared" si="0"/>
        <v>46215</v>
      </c>
      <c r="D20" s="352">
        <f>IF(VLOOKUP($B20,Datenblatt!$A$43:$A$65,1,1)=$B20,0,VLOOKUP(WEEKDAY($B20),Datenblatt!$I$46:$K$52,3,FALSE))</f>
        <v>0</v>
      </c>
      <c r="E20" s="352">
        <f>IF(VLOOKUP($B20,Datenblatt!$A$43:$A$65,1,1)=$B20,0,IF(WEEKDAY($B20)=7,1,IF(WEEKDAY($B20)=1,0,2)))</f>
        <v>0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46216</v>
      </c>
      <c r="C21" s="157">
        <f t="shared" si="0"/>
        <v>46216</v>
      </c>
      <c r="D21" s="352">
        <f>IF(VLOOKUP($B21,Datenblatt!$A$43:$A$65,1,1)=$B21,0,VLOOKUP(WEEKDAY($B21),Datenblatt!$I$46:$K$52,3,FALSE))</f>
        <v>8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46217</v>
      </c>
      <c r="C22" s="157">
        <f t="shared" si="0"/>
        <v>46217</v>
      </c>
      <c r="D22" s="352">
        <f>IF(VLOOKUP($B22,Datenblatt!$A$43:$A$65,1,1)=$B22,0,VLOOKUP(WEEKDAY($B22),Datenblatt!$I$46:$K$52,3,FALSE))</f>
        <v>8</v>
      </c>
      <c r="E22" s="352">
        <f>IF(VLOOKUP($B22,Datenblatt!$A$43:$A$65,1,1)=$B22,0,IF(WEEKDAY($B22)=7,1,IF(WEEKDAY($B22)=1,0,2)))</f>
        <v>2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46218</v>
      </c>
      <c r="C23" s="157">
        <f t="shared" si="0"/>
        <v>46218</v>
      </c>
      <c r="D23" s="352">
        <f>IF(VLOOKUP($B23,Datenblatt!$A$43:$A$65,1,1)=$B23,0,VLOOKUP(WEEKDAY($B23),Datenblatt!$I$46:$K$52,3,FALSE))</f>
        <v>8</v>
      </c>
      <c r="E23" s="352">
        <f>IF(VLOOKUP($B23,Datenblatt!$A$43:$A$65,1,1)=$B23,0,IF(WEEKDAY($B23)=7,1,IF(WEEKDAY($B23)=1,0,2)))</f>
        <v>2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46219</v>
      </c>
      <c r="C24" s="157">
        <f t="shared" si="0"/>
        <v>46219</v>
      </c>
      <c r="D24" s="352">
        <f>IF(VLOOKUP($B24,Datenblatt!$A$43:$A$65,1,1)=$B24,0,VLOOKUP(WEEKDAY($B24),Datenblatt!$I$46:$K$52,3,FALSE))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46220</v>
      </c>
      <c r="C25" s="157">
        <f t="shared" si="0"/>
        <v>46220</v>
      </c>
      <c r="D25" s="352">
        <f>IF(VLOOKUP($B25,Datenblatt!$A$43:$A$65,1,1)=$B25,0,VLOOKUP(WEEKDAY($B25),Datenblatt!$I$46:$K$52,3,FALSE))</f>
        <v>6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46221</v>
      </c>
      <c r="C26" s="157">
        <f t="shared" si="0"/>
        <v>46221</v>
      </c>
      <c r="D26" s="352">
        <f>IF(VLOOKUP($B26,Datenblatt!$A$43:$A$65,1,1)=$B26,0,VLOOKUP(WEEKDAY($B26),Datenblatt!$I$46:$K$52,3,FALSE))</f>
        <v>0</v>
      </c>
      <c r="E26" s="352">
        <f>IF(VLOOKUP($B26,Datenblatt!$A$43:$A$65,1,1)=$B26,0,IF(WEEKDAY($B26)=7,1,IF(WEEKDAY($B26)=1,0,2)))</f>
        <v>1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46222</v>
      </c>
      <c r="C27" s="157">
        <f t="shared" si="0"/>
        <v>46222</v>
      </c>
      <c r="D27" s="352">
        <f>IF(VLOOKUP($B27,Datenblatt!$A$43:$A$65,1,1)=$B27,0,VLOOKUP(WEEKDAY($B27),Datenblatt!$I$46:$K$52,3,FALSE))</f>
        <v>0</v>
      </c>
      <c r="E27" s="352">
        <f>IF(VLOOKUP($B27,Datenblatt!$A$43:$A$65,1,1)=$B27,0,IF(WEEKDAY($B27)=7,1,IF(WEEKDAY($B27)=1,0,2)))</f>
        <v>0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46223</v>
      </c>
      <c r="C28" s="157">
        <f t="shared" si="0"/>
        <v>46223</v>
      </c>
      <c r="D28" s="352">
        <f>IF(VLOOKUP($B28,Datenblatt!$A$43:$A$65,1,1)=$B28,0,VLOOKUP(WEEKDAY($B28),Datenblatt!$I$46:$K$52,3,FALSE))</f>
        <v>8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46224</v>
      </c>
      <c r="C29" s="157">
        <f t="shared" si="0"/>
        <v>46224</v>
      </c>
      <c r="D29" s="352">
        <f>IF(VLOOKUP($B29,Datenblatt!$A$43:$A$65,1,1)=$B29,0,VLOOKUP(WEEKDAY($B29),Datenblatt!$I$46:$K$52,3,FALSE))</f>
        <v>8</v>
      </c>
      <c r="E29" s="352">
        <f>IF(VLOOKUP($B29,Datenblatt!$A$43:$A$65,1,1)=$B29,0,IF(WEEKDAY($B29)=7,1,IF(WEEKDAY($B29)=1,0,2)))</f>
        <v>2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46225</v>
      </c>
      <c r="C30" s="157">
        <f t="shared" si="0"/>
        <v>46225</v>
      </c>
      <c r="D30" s="352">
        <f>IF(VLOOKUP($B30,Datenblatt!$A$43:$A$65,1,1)=$B30,0,VLOOKUP(WEEKDAY($B30),Datenblatt!$I$46:$K$52,3,FALSE))</f>
        <v>8</v>
      </c>
      <c r="E30" s="352">
        <f>IF(VLOOKUP($B30,Datenblatt!$A$43:$A$65,1,1)=$B30,0,IF(WEEKDAY($B30)=7,1,IF(WEEKDAY($B30)=1,0,2)))</f>
        <v>2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46226</v>
      </c>
      <c r="C31" s="157">
        <f t="shared" si="0"/>
        <v>46226</v>
      </c>
      <c r="D31" s="352">
        <f>IF(VLOOKUP($B31,Datenblatt!$A$43:$A$65,1,1)=$B31,0,VLOOKUP(WEEKDAY($B31),Datenblatt!$I$46:$K$52,3,FALSE))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46227</v>
      </c>
      <c r="C32" s="157">
        <f t="shared" si="0"/>
        <v>46227</v>
      </c>
      <c r="D32" s="352">
        <f>IF(VLOOKUP($B32,Datenblatt!$A$43:$A$65,1,1)=$B32,0,VLOOKUP(WEEKDAY($B32),Datenblatt!$I$46:$K$52,3,FALSE))</f>
        <v>6</v>
      </c>
      <c r="E32" s="352">
        <f>IF(VLOOKUP($B32,Datenblatt!$A$43:$A$65,1,1)=$B32,0,IF(WEEKDAY($B32)=7,1,IF(WEEKDAY($B32)=1,0,2)))</f>
        <v>2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46228</v>
      </c>
      <c r="C33" s="157">
        <f t="shared" si="0"/>
        <v>46228</v>
      </c>
      <c r="D33" s="352">
        <f>IF(VLOOKUP($B33,Datenblatt!$A$43:$A$65,1,1)=$B33,0,VLOOKUP(WEEKDAY($B33),Datenblatt!$I$46:$K$52,3,FALSE))</f>
        <v>0</v>
      </c>
      <c r="E33" s="352">
        <f>IF(VLOOKUP($B33,Datenblatt!$A$43:$A$65,1,1)=$B33,0,IF(WEEKDAY($B33)=7,1,IF(WEEKDAY($B33)=1,0,2)))</f>
        <v>1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46229</v>
      </c>
      <c r="C34" s="157">
        <f t="shared" si="0"/>
        <v>46229</v>
      </c>
      <c r="D34" s="352">
        <f>IF(VLOOKUP($B34,Datenblatt!$A$43:$A$65,1,1)=$B34,0,VLOOKUP(WEEKDAY($B34),Datenblatt!$I$46:$K$52,3,FALSE))</f>
        <v>0</v>
      </c>
      <c r="E34" s="352">
        <f>IF(VLOOKUP($B34,Datenblatt!$A$43:$A$65,1,1)=$B34,0,IF(WEEKDAY($B34)=7,1,IF(WEEKDAY($B34)=1,0,2)))</f>
        <v>0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46230</v>
      </c>
      <c r="C35" s="157">
        <f t="shared" si="0"/>
        <v>46230</v>
      </c>
      <c r="D35" s="352">
        <f>IF(VLOOKUP($B35,Datenblatt!$A$43:$A$65,1,1)=$B35,0,VLOOKUP(WEEKDAY($B35),Datenblatt!$I$46:$K$52,3,FALSE))</f>
        <v>8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46231</v>
      </c>
      <c r="C36" s="157">
        <f t="shared" si="0"/>
        <v>46231</v>
      </c>
      <c r="D36" s="352">
        <f>IF(VLOOKUP($B36,Datenblatt!$A$43:$A$65,1,1)=$B36,0,VLOOKUP(WEEKDAY($B36),Datenblatt!$I$46:$K$52,3,FALSE))</f>
        <v>8</v>
      </c>
      <c r="E36" s="352">
        <f>IF(VLOOKUP($B36,Datenblatt!$A$43:$A$65,1,1)=$B36,0,IF(WEEKDAY($B36)=7,1,IF(WEEKDAY($B36)=1,0,2)))</f>
        <v>2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46232</v>
      </c>
      <c r="C37" s="157">
        <f t="shared" si="0"/>
        <v>46232</v>
      </c>
      <c r="D37" s="352">
        <f>IF(VLOOKUP($B37,Datenblatt!$A$43:$A$65,1,1)=$B37,0,VLOOKUP(WEEKDAY($B37),Datenblatt!$I$46:$K$52,3,FALSE))</f>
        <v>8</v>
      </c>
      <c r="E37" s="352">
        <f>IF(VLOOKUP($B37,Datenblatt!$A$43:$A$65,1,1)=$B37,0,IF(WEEKDAY($B37)=7,1,IF(WEEKDAY($B37)=1,0,2)))</f>
        <v>2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46233</v>
      </c>
      <c r="C38" s="157">
        <f t="shared" si="0"/>
        <v>46233</v>
      </c>
      <c r="D38" s="352">
        <f>IF(VLOOKUP($B38,Datenblatt!$A$43:$A$65,1,1)=$B38,0,VLOOKUP(WEEKDAY($B38),Datenblatt!$I$46:$K$52,3,FALSE))</f>
        <v>8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>
        <f t="shared" si="4"/>
        <v>46234</v>
      </c>
      <c r="C39" s="157">
        <f t="shared" si="0"/>
        <v>46234</v>
      </c>
      <c r="D39" s="352">
        <f>IF(VLOOKUP($B39,Datenblatt!$A$43:$A$65,1,1)=$B39,0,VLOOKUP(WEEKDAY($B39),Datenblatt!$I$46:$K$52,3,FALSE))</f>
        <v>6</v>
      </c>
      <c r="E39" s="352">
        <f>IF(VLOOKUP($B39,Datenblatt!$A$43:$A$65,1,1)=$B39,0,IF(WEEKDAY($B39)=7,1,IF(WEEKDAY($B39)=1,0,2)))</f>
        <v>2</v>
      </c>
      <c r="F39" s="353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1"/>
        <v/>
      </c>
      <c r="S39" s="168" t="str">
        <f t="shared" si="2"/>
        <v/>
      </c>
      <c r="T39" s="169" t="str">
        <f t="shared" si="3"/>
        <v/>
      </c>
      <c r="U39" s="170"/>
      <c r="V39" s="415" t="str">
        <f>IF(VLOOKUP($B39,Datenblatt!$A$43:$A$66,1,1)=$B39,VLOOKUP($B39,Datenblatt!$A$43:$C$66,3,FALSE)," ")</f>
        <v xml:space="preserve"> </v>
      </c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23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Juli "&amp;Datenblatt!$F$5&amp;":"</f>
        <v>Sollstunden für Juli 2026:</v>
      </c>
      <c r="N41" s="66"/>
      <c r="O41" s="66"/>
      <c r="P41" s="186"/>
      <c r="R41" s="187"/>
      <c r="S41" s="403">
        <f>SUM(D9:D39)</f>
        <v>174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Juli "&amp;Datenblatt!F5&amp;":   ","Zeitdefizit im Monat Juli "&amp;Datenblatt!F5&amp;":   ")</f>
        <v xml:space="preserve">Zeitdefizit im Monat Juli 2026:   </v>
      </c>
      <c r="N42" s="189"/>
      <c r="O42" s="189"/>
      <c r="R42" s="190"/>
      <c r="S42" s="397">
        <f>T40-SUM(D9:D39)</f>
        <v>-174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Juni "&amp;Datenblatt!F5&amp;":   ","  - Zeitdefizit aus Juni "&amp;Datenblatt!F5&amp;":   ")</f>
        <v xml:space="preserve">  - Zeitdefizit aus Juni 2026:   </v>
      </c>
      <c r="S43" s="398">
        <f>Juni!S44</f>
        <v>-920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August "&amp;Datenblatt!F5</f>
        <v>Übertrag für August 2026</v>
      </c>
      <c r="R44" s="195"/>
      <c r="S44" s="399">
        <f>S43+S42-I42</f>
        <v>-1094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674" priority="1" stopIfTrue="1" operator="equal">
      <formula>MATCH($E15,0)</formula>
    </cfRule>
    <cfRule type="expression" dxfId="1673" priority="2" stopIfTrue="1">
      <formula>"WOCHENTAG($B8)=1"</formula>
    </cfRule>
    <cfRule type="expression" dxfId="1672" priority="3" stopIfTrue="1">
      <formula>"WOCHENTAG($B8)=7"</formula>
    </cfRule>
  </conditionalFormatting>
  <conditionalFormatting sqref="B9:C9">
    <cfRule type="expression" dxfId="1671" priority="68" stopIfTrue="1">
      <formula>($E$9=1)</formula>
    </cfRule>
  </conditionalFormatting>
  <conditionalFormatting sqref="B10:C10">
    <cfRule type="expression" dxfId="1670" priority="71" stopIfTrue="1">
      <formula>($E$10=1)</formula>
    </cfRule>
  </conditionalFormatting>
  <conditionalFormatting sqref="B11:C11">
    <cfRule type="expression" dxfId="1669" priority="74" stopIfTrue="1">
      <formula>($E$11=1)</formula>
    </cfRule>
  </conditionalFormatting>
  <conditionalFormatting sqref="B12:C12">
    <cfRule type="expression" dxfId="1668" priority="77" stopIfTrue="1">
      <formula>($E$12=1)</formula>
    </cfRule>
  </conditionalFormatting>
  <conditionalFormatting sqref="B13:C13">
    <cfRule type="expression" dxfId="1667" priority="80" stopIfTrue="1">
      <formula>($E$13=1)</formula>
    </cfRule>
  </conditionalFormatting>
  <conditionalFormatting sqref="B14:C14">
    <cfRule type="expression" dxfId="1666" priority="83" stopIfTrue="1">
      <formula>($E$14=1)</formula>
    </cfRule>
  </conditionalFormatting>
  <conditionalFormatting sqref="B15:C15">
    <cfRule type="expression" dxfId="1665" priority="86" stopIfTrue="1">
      <formula>($E$15=1)</formula>
    </cfRule>
  </conditionalFormatting>
  <conditionalFormatting sqref="B16:C16">
    <cfRule type="expression" dxfId="1664" priority="89" stopIfTrue="1">
      <formula>($E$16=1)</formula>
    </cfRule>
  </conditionalFormatting>
  <conditionalFormatting sqref="B17:C17">
    <cfRule type="expression" dxfId="1663" priority="92" stopIfTrue="1">
      <formula>($E$17=1)</formula>
    </cfRule>
  </conditionalFormatting>
  <conditionalFormatting sqref="B18:C18">
    <cfRule type="expression" dxfId="1662" priority="95" stopIfTrue="1">
      <formula>($E$18=1)</formula>
    </cfRule>
  </conditionalFormatting>
  <conditionalFormatting sqref="B19:C19">
    <cfRule type="expression" dxfId="1661" priority="98" stopIfTrue="1">
      <formula>($E$19=1)</formula>
    </cfRule>
  </conditionalFormatting>
  <conditionalFormatting sqref="B20:C20">
    <cfRule type="expression" dxfId="1660" priority="101" stopIfTrue="1">
      <formula>($E$20=1)</formula>
    </cfRule>
  </conditionalFormatting>
  <conditionalFormatting sqref="B21:C21">
    <cfRule type="expression" dxfId="1659" priority="104" stopIfTrue="1">
      <formula>($E$21=1)</formula>
    </cfRule>
  </conditionalFormatting>
  <conditionalFormatting sqref="B22:C22">
    <cfRule type="expression" dxfId="1658" priority="107" stopIfTrue="1">
      <formula>($E$22=1)</formula>
    </cfRule>
  </conditionalFormatting>
  <conditionalFormatting sqref="B23:C23">
    <cfRule type="expression" dxfId="1657" priority="110" stopIfTrue="1">
      <formula>($E$23=1)</formula>
    </cfRule>
  </conditionalFormatting>
  <conditionalFormatting sqref="B24:C24">
    <cfRule type="expression" dxfId="1656" priority="113" stopIfTrue="1">
      <formula>($E$24=1)</formula>
    </cfRule>
  </conditionalFormatting>
  <conditionalFormatting sqref="B25:C25">
    <cfRule type="expression" dxfId="1655" priority="116" stopIfTrue="1">
      <formula>($E$25=1)</formula>
    </cfRule>
  </conditionalFormatting>
  <conditionalFormatting sqref="B26:C26">
    <cfRule type="expression" dxfId="1654" priority="119" stopIfTrue="1">
      <formula>($E$26=1)</formula>
    </cfRule>
  </conditionalFormatting>
  <conditionalFormatting sqref="B27:C27">
    <cfRule type="expression" dxfId="1653" priority="122" stopIfTrue="1">
      <formula>($E$27=1)</formula>
    </cfRule>
  </conditionalFormatting>
  <conditionalFormatting sqref="B28:C28">
    <cfRule type="expression" dxfId="1652" priority="125" stopIfTrue="1">
      <formula>($E$28=1)</formula>
    </cfRule>
  </conditionalFormatting>
  <conditionalFormatting sqref="B29:C29">
    <cfRule type="expression" dxfId="1651" priority="128" stopIfTrue="1">
      <formula>($E$29=1)</formula>
    </cfRule>
  </conditionalFormatting>
  <conditionalFormatting sqref="B30:C30">
    <cfRule type="expression" dxfId="1650" priority="131" stopIfTrue="1">
      <formula>($E$30=1)</formula>
    </cfRule>
  </conditionalFormatting>
  <conditionalFormatting sqref="B31:C31">
    <cfRule type="expression" dxfId="1649" priority="134" stopIfTrue="1">
      <formula>($E$31=1)</formula>
    </cfRule>
  </conditionalFormatting>
  <conditionalFormatting sqref="B32:C32">
    <cfRule type="expression" dxfId="1648" priority="137" stopIfTrue="1">
      <formula>($E$32=1)</formula>
    </cfRule>
  </conditionalFormatting>
  <conditionalFormatting sqref="B33:C33">
    <cfRule type="expression" dxfId="1647" priority="140" stopIfTrue="1">
      <formula>($E$33=1)</formula>
    </cfRule>
  </conditionalFormatting>
  <conditionalFormatting sqref="B34:C34">
    <cfRule type="expression" dxfId="1646" priority="143" stopIfTrue="1">
      <formula>($E$34=1)</formula>
    </cfRule>
  </conditionalFormatting>
  <conditionalFormatting sqref="B35:C35">
    <cfRule type="expression" dxfId="1645" priority="146" stopIfTrue="1">
      <formula>($E$35=1)</formula>
    </cfRule>
  </conditionalFormatting>
  <conditionalFormatting sqref="B36:C36">
    <cfRule type="expression" dxfId="1644" priority="149" stopIfTrue="1">
      <formula>($E$36=1)</formula>
    </cfRule>
  </conditionalFormatting>
  <conditionalFormatting sqref="B37:C37">
    <cfRule type="expression" dxfId="1643" priority="152" stopIfTrue="1">
      <formula>($E$37=1)</formula>
    </cfRule>
  </conditionalFormatting>
  <conditionalFormatting sqref="B38:C38">
    <cfRule type="expression" dxfId="1642" priority="155" stopIfTrue="1">
      <formula>($E$38=1)</formula>
    </cfRule>
  </conditionalFormatting>
  <conditionalFormatting sqref="B39:C39">
    <cfRule type="expression" dxfId="1641" priority="158" stopIfTrue="1">
      <formula>($E$39=1)</formula>
    </cfRule>
  </conditionalFormatting>
  <conditionalFormatting sqref="B9:T9 V9">
    <cfRule type="expression" dxfId="1640" priority="5" stopIfTrue="1">
      <formula>($D$9="Ersatzruhetag")</formula>
    </cfRule>
    <cfRule type="expression" dxfId="1639" priority="4" stopIfTrue="1">
      <formula>($E$9=0)</formula>
    </cfRule>
  </conditionalFormatting>
  <conditionalFormatting sqref="B10:T10 V10">
    <cfRule type="expression" dxfId="1638" priority="7" stopIfTrue="1">
      <formula>($D$10="Ersatzruhetag")</formula>
    </cfRule>
    <cfRule type="expression" dxfId="1637" priority="6" stopIfTrue="1">
      <formula>($E$10=0)</formula>
    </cfRule>
  </conditionalFormatting>
  <conditionalFormatting sqref="B11:T11 V11">
    <cfRule type="expression" dxfId="1636" priority="9" stopIfTrue="1">
      <formula>($D$11="Ersatzruhetag")</formula>
    </cfRule>
    <cfRule type="expression" dxfId="1635" priority="8" stopIfTrue="1">
      <formula>($E$11=0)</formula>
    </cfRule>
  </conditionalFormatting>
  <conditionalFormatting sqref="B12:T12 V12">
    <cfRule type="expression" dxfId="1634" priority="11" stopIfTrue="1">
      <formula>($D$12="Ersatzruhetag")</formula>
    </cfRule>
    <cfRule type="expression" dxfId="1633" priority="10" stopIfTrue="1">
      <formula>($E$12=0)</formula>
    </cfRule>
  </conditionalFormatting>
  <conditionalFormatting sqref="B13:T13 V13">
    <cfRule type="expression" dxfId="1632" priority="12" stopIfTrue="1">
      <formula>($E$13=0)</formula>
    </cfRule>
    <cfRule type="expression" dxfId="1631" priority="13" stopIfTrue="1">
      <formula>($D$13="Ersatzruhetag")</formula>
    </cfRule>
  </conditionalFormatting>
  <conditionalFormatting sqref="B14:T14 V14">
    <cfRule type="expression" dxfId="1630" priority="14" stopIfTrue="1">
      <formula>($E$14=0)</formula>
    </cfRule>
    <cfRule type="expression" dxfId="1629" priority="15" stopIfTrue="1">
      <formula>($D$14="Ersatzruhetag")</formula>
    </cfRule>
  </conditionalFormatting>
  <conditionalFormatting sqref="B15:T15 V15">
    <cfRule type="expression" dxfId="1628" priority="16" stopIfTrue="1">
      <formula>($E$15=0)</formula>
    </cfRule>
    <cfRule type="expression" dxfId="1627" priority="17" stopIfTrue="1">
      <formula>($D$15="Ersatzruhetag")</formula>
    </cfRule>
  </conditionalFormatting>
  <conditionalFormatting sqref="B16:T16 V16">
    <cfRule type="expression" dxfId="1626" priority="18" stopIfTrue="1">
      <formula>($E$16=0)</formula>
    </cfRule>
    <cfRule type="expression" dxfId="1625" priority="19" stopIfTrue="1">
      <formula>($D$16="Ersatzruhetag")</formula>
    </cfRule>
  </conditionalFormatting>
  <conditionalFormatting sqref="B17:T17 V17">
    <cfRule type="expression" dxfId="1624" priority="21" stopIfTrue="1">
      <formula>($D$17="Ersatzruhetag")</formula>
    </cfRule>
    <cfRule type="expression" dxfId="1623" priority="20" stopIfTrue="1">
      <formula>($E$17=0)</formula>
    </cfRule>
  </conditionalFormatting>
  <conditionalFormatting sqref="B18:T18 V18">
    <cfRule type="expression" dxfId="1622" priority="22" stopIfTrue="1">
      <formula>($E$18=0)</formula>
    </cfRule>
    <cfRule type="expression" dxfId="1621" priority="23" stopIfTrue="1">
      <formula>($D$18="Ersatzruhetag")</formula>
    </cfRule>
  </conditionalFormatting>
  <conditionalFormatting sqref="B19:T19 V19">
    <cfRule type="expression" dxfId="1620" priority="25" stopIfTrue="1">
      <formula>($D$19="Ersatzruhetag")</formula>
    </cfRule>
    <cfRule type="expression" dxfId="1619" priority="24" stopIfTrue="1">
      <formula>($E$19=0)</formula>
    </cfRule>
  </conditionalFormatting>
  <conditionalFormatting sqref="B20:T20 V20">
    <cfRule type="expression" dxfId="1618" priority="26" stopIfTrue="1">
      <formula>($E$20=0)</formula>
    </cfRule>
    <cfRule type="expression" dxfId="1617" priority="27" stopIfTrue="1">
      <formula>($D$20="Ersatzruhetag")</formula>
    </cfRule>
  </conditionalFormatting>
  <conditionalFormatting sqref="B21:T21 V21">
    <cfRule type="expression" dxfId="1616" priority="28" stopIfTrue="1">
      <formula>($E$21=0)</formula>
    </cfRule>
    <cfRule type="expression" dxfId="1615" priority="29" stopIfTrue="1">
      <formula>($D$21="Ersatzruhetag")</formula>
    </cfRule>
  </conditionalFormatting>
  <conditionalFormatting sqref="B22:T22 V22">
    <cfRule type="expression" dxfId="1614" priority="30" stopIfTrue="1">
      <formula>($E$22=0)</formula>
    </cfRule>
    <cfRule type="expression" dxfId="1613" priority="31" stopIfTrue="1">
      <formula>($D$22="Ersatzruhetag")</formula>
    </cfRule>
  </conditionalFormatting>
  <conditionalFormatting sqref="B23:T23 V23">
    <cfRule type="expression" dxfId="1612" priority="32" stopIfTrue="1">
      <formula>($E$23=0)</formula>
    </cfRule>
    <cfRule type="expression" dxfId="1611" priority="33" stopIfTrue="1">
      <formula>($D$23="Ersatzruhetag")</formula>
    </cfRule>
  </conditionalFormatting>
  <conditionalFormatting sqref="B24:T24 V24">
    <cfRule type="expression" dxfId="1610" priority="34" stopIfTrue="1">
      <formula>($E$24=0)</formula>
    </cfRule>
    <cfRule type="expression" dxfId="1609" priority="35" stopIfTrue="1">
      <formula>($D$24="Ersatzruhetag")</formula>
    </cfRule>
  </conditionalFormatting>
  <conditionalFormatting sqref="B25:T25 V25">
    <cfRule type="expression" dxfId="1608" priority="37" stopIfTrue="1">
      <formula>($D$25="Ersatzruhetag")</formula>
    </cfRule>
    <cfRule type="expression" dxfId="1607" priority="36" stopIfTrue="1">
      <formula>($E$25=0)</formula>
    </cfRule>
  </conditionalFormatting>
  <conditionalFormatting sqref="B26:T26 V26">
    <cfRule type="expression" dxfId="1606" priority="38" stopIfTrue="1">
      <formula>($E$26=0)</formula>
    </cfRule>
    <cfRule type="expression" dxfId="1605" priority="39" stopIfTrue="1">
      <formula>($D$26="Ersatzruhetag")</formula>
    </cfRule>
  </conditionalFormatting>
  <conditionalFormatting sqref="B27:T27 V27">
    <cfRule type="expression" dxfId="1604" priority="40" stopIfTrue="1">
      <formula>($E$27=0)</formula>
    </cfRule>
    <cfRule type="expression" dxfId="1603" priority="41" stopIfTrue="1">
      <formula>($D$27="Ersatzruhetag")</formula>
    </cfRule>
  </conditionalFormatting>
  <conditionalFormatting sqref="B28:T28 V28">
    <cfRule type="expression" dxfId="1602" priority="43" stopIfTrue="1">
      <formula>($D$28="Ersatzruhetag")</formula>
    </cfRule>
    <cfRule type="expression" dxfId="1601" priority="42" stopIfTrue="1">
      <formula>($E$28=0)</formula>
    </cfRule>
  </conditionalFormatting>
  <conditionalFormatting sqref="B29:T29 V29">
    <cfRule type="expression" dxfId="1600" priority="44" stopIfTrue="1">
      <formula>($E$29=0)</formula>
    </cfRule>
    <cfRule type="expression" dxfId="1599" priority="45" stopIfTrue="1">
      <formula>($D$29="Ersatzruhetag")</formula>
    </cfRule>
  </conditionalFormatting>
  <conditionalFormatting sqref="B30:T30 V30">
    <cfRule type="expression" dxfId="1598" priority="46" stopIfTrue="1">
      <formula>($E$30=0)</formula>
    </cfRule>
    <cfRule type="expression" dxfId="1597" priority="47" stopIfTrue="1">
      <formula>($D$30="Ersatzruhetag")</formula>
    </cfRule>
  </conditionalFormatting>
  <conditionalFormatting sqref="B31:T31 V31">
    <cfRule type="expression" dxfId="1596" priority="48" stopIfTrue="1">
      <formula>($E$31=0)</formula>
    </cfRule>
    <cfRule type="expression" dxfId="1595" priority="49" stopIfTrue="1">
      <formula>($D$31="Ersatzruhetag")</formula>
    </cfRule>
  </conditionalFormatting>
  <conditionalFormatting sqref="B32:T32 V32">
    <cfRule type="expression" dxfId="1594" priority="51" stopIfTrue="1">
      <formula>($D$32="Ersatzruhetag")</formula>
    </cfRule>
    <cfRule type="expression" dxfId="1593" priority="50" stopIfTrue="1">
      <formula>($E$32=0)</formula>
    </cfRule>
  </conditionalFormatting>
  <conditionalFormatting sqref="B33:T33 V33">
    <cfRule type="expression" dxfId="1592" priority="53" stopIfTrue="1">
      <formula>($D$33="Ersatzruhetag")</formula>
    </cfRule>
    <cfRule type="expression" dxfId="1591" priority="52" stopIfTrue="1">
      <formula>($E$33=0)</formula>
    </cfRule>
  </conditionalFormatting>
  <conditionalFormatting sqref="B34:T34 V34">
    <cfRule type="expression" dxfId="1590" priority="55" stopIfTrue="1">
      <formula>($D$34="Ersatzruhetag")</formula>
    </cfRule>
    <cfRule type="expression" dxfId="1589" priority="54" stopIfTrue="1">
      <formula>($E$34=0)</formula>
    </cfRule>
  </conditionalFormatting>
  <conditionalFormatting sqref="B35:T35 V35">
    <cfRule type="expression" dxfId="1588" priority="57" stopIfTrue="1">
      <formula>($D$35="Ersatzruhetag")</formula>
    </cfRule>
    <cfRule type="expression" dxfId="1587" priority="56" stopIfTrue="1">
      <formula>($E$35=0)</formula>
    </cfRule>
  </conditionalFormatting>
  <conditionalFormatting sqref="B36:T36 V36">
    <cfRule type="expression" dxfId="1586" priority="59" stopIfTrue="1">
      <formula>($D$36="Ersatzruhetag")</formula>
    </cfRule>
    <cfRule type="expression" dxfId="1585" priority="58" stopIfTrue="1">
      <formula>($E$36=0)</formula>
    </cfRule>
  </conditionalFormatting>
  <conditionalFormatting sqref="B37:T37 V37">
    <cfRule type="expression" dxfId="1584" priority="61" stopIfTrue="1">
      <formula>($D$37="Ersatzruhetag")</formula>
    </cfRule>
    <cfRule type="expression" dxfId="1583" priority="60" stopIfTrue="1">
      <formula>($E$37=0)</formula>
    </cfRule>
  </conditionalFormatting>
  <conditionalFormatting sqref="B38:T38 V38">
    <cfRule type="expression" dxfId="1582" priority="63" stopIfTrue="1">
      <formula>($D$38="Ersatzruhetag")</formula>
    </cfRule>
    <cfRule type="expression" dxfId="1581" priority="62" stopIfTrue="1">
      <formula>($E$38=0)</formula>
    </cfRule>
  </conditionalFormatting>
  <conditionalFormatting sqref="B39:T39 V39">
    <cfRule type="expression" dxfId="1580" priority="65" stopIfTrue="1">
      <formula>($D$39="Ersatzruhetag")</formula>
    </cfRule>
    <cfRule type="expression" dxfId="1579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Datenblatt</vt:lpstr>
      <vt:lpstr>Urlaubsmeldung</vt:lpstr>
      <vt:lpstr>Jän</vt:lpstr>
      <vt:lpstr>Feb</vt:lpstr>
      <vt:lpstr>März</vt:lpstr>
      <vt:lpstr>April</vt:lpstr>
      <vt:lpstr>Mai</vt:lpstr>
      <vt:lpstr>Juni</vt:lpstr>
      <vt:lpstr>Juli</vt:lpstr>
      <vt:lpstr>Aug</vt:lpstr>
      <vt:lpstr>Sept</vt:lpstr>
      <vt:lpstr>Okt</vt:lpstr>
      <vt:lpstr>Nov</vt:lpstr>
      <vt:lpstr>Dez</vt:lpstr>
      <vt:lpstr>REISERECHNUNG</vt:lpstr>
      <vt:lpstr>Jahresübersicht</vt:lpstr>
      <vt:lpstr>REISERECHNUNG!Druckbereich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Stabentheiner</dc:creator>
  <cp:lastModifiedBy>Gabriel Stabentheiner</cp:lastModifiedBy>
  <cp:lastPrinted>2021-12-07T15:18:50Z</cp:lastPrinted>
  <dcterms:created xsi:type="dcterms:W3CDTF">2011-11-07T11:51:46Z</dcterms:created>
  <dcterms:modified xsi:type="dcterms:W3CDTF">2025-10-05T08:29:11Z</dcterms:modified>
</cp:coreProperties>
</file>